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&amp; Basis" sheetId="1" state="visible" r:id="rId1"/>
    <sheet name="Lumber Package Cut List" sheetId="2" state="visible" r:id="rId2"/>
    <sheet name="Quantity Takeoff" sheetId="3" state="visible" r:id="rId3"/>
    <sheet name="Pricing" sheetId="4" state="visible" r:id="rId4"/>
    <sheet name="Summary" sheetId="5" state="visible" r:id="rId5"/>
  </sheets>
  <definedNames>
    <definedName name="house_w">'Cover &amp; Basis'!$D$12</definedName>
    <definedName name="house_l">'Cover &amp; Basis'!$D$13</definedName>
    <definedName name="floor_sf">'Cover &amp; Basis'!$D$14</definedName>
    <definedName name="gross_sf">'Cover &amp; Basis'!$D$15</definedName>
    <definedName name="perim_lf">'Cover &amp; Basis'!$D$16</definedName>
    <definedName name="fl1_ht">'Cover &amp; Basis'!$D$17</definedName>
    <definedName name="fl2_ht">'Cover &amp; Basis'!$D$18</definedName>
    <definedName name="rim_ht">'Cover &amp; Basis'!$D$19</definedName>
    <definedName name="int_fl1_lf">'Cover &amp; Basis'!$D$20</definedName>
    <definedName name="int_fl2_lf">'Cover &amp; Basis'!$D$21</definedName>
    <definedName name="ext_wall_sf">'Cover &amp; Basis'!$D$22</definedName>
    <definedName name="joist_span">'Cover &amp; Basis'!$D$23</definedName>
    <definedName name="joist_oc">'Cover &amp; Basis'!$D$24</definedName>
    <definedName name="joist_runs">'Cover &amp; Basis'!$D$25</definedName>
    <definedName name="subfloor_sf">'Cover &amp; Basis'!$D$26</definedName>
    <definedName name="roof_overhang">'Cover &amp; Basis'!$D$27</definedName>
    <definedName name="roof_len">'Cover &amp; Basis'!$D$28</definedName>
    <definedName name="truss_span">'Cover &amp; Basis'!$D$29</definedName>
    <definedName name="truss_oc">'Cover &amp; Basis'!$D$30</definedName>
    <definedName name="truss_count">'Cover &amp; Basis'!$D$31</definedName>
    <definedName name="gable_count">'Cover &amp; Basis'!$D$32</definedName>
    <definedName name="pitch_mult">'Cover &amp; Basis'!$D$33</definedName>
    <definedName name="roof_sf">'Cover &amp; Basis'!$D$34</definedName>
    <definedName name="anchor_spacing">'Cover &amp; Basis'!$D$35</definedName>
    <definedName name="anchors_n">'Cover &amp; Basis'!$D$36</definedName>
    <definedName name="hurr_ties_n">'Cover &amp; Basis'!$D$37</definedName>
    <definedName name="joist_hgr_n">'Cover &amp; Basis'!$D$38</definedName>
    <definedName name="holddown_n">'Cover &amp; Basis'!$D$39</definedName>
    <definedName name="rate_framing">'Cover &amp; Basis'!$D$40</definedName>
    <definedName name="rate_lead">'Cover &amp; Basis'!$D$41</definedName>
    <definedName name="rate_crane">'Cover &amp; Basis'!$D$42</definedName>
    <definedName name="tax_rate">'Cover &amp; Basis'!$D$43</definedName>
    <definedName name="oh_pct">'Cover &amp; Basis'!$D$44</definedName>
    <definedName name="profit_pct">'Cover &amp; Basis'!$D$45</definedName>
    <definedName name="mudsill_lf">'Quantity Takeoff'!$E$6</definedName>
    <definedName name="mudsill_lf_w">'Quantity Takeoff'!$H$6</definedName>
    <definedName name="ext_pl1_lf">'Quantity Takeoff'!$E$9</definedName>
    <definedName name="ext_pl1_lf_w">'Quantity Takeoff'!$H$9</definedName>
    <definedName name="ext_st1_ea">'Quantity Takeoff'!$E$10</definedName>
    <definedName name="ext_st1_ea_w">'Quantity Takeoff'!$H$10</definedName>
    <definedName name="int_pl1_lf">'Quantity Takeoff'!$E$11</definedName>
    <definedName name="int_pl1_lf_w">'Quantity Takeoff'!$H$11</definedName>
    <definedName name="int_st1_ea">'Quantity Takeoff'!$E$12</definedName>
    <definedName name="int_st1_ea_w">'Quantity Takeoff'!$H$12</definedName>
    <definedName name="hdr1_lf">'Quantity Takeoff'!$E$13</definedName>
    <definedName name="hdr1_lf_w">'Quantity Takeoff'!$H$13</definedName>
    <definedName name="ijoist_lf">'Quantity Takeoff'!$E$14</definedName>
    <definedName name="ijoist_lf_w">'Quantity Takeoff'!$H$14</definedName>
    <definedName name="rim_lf">'Quantity Takeoff'!$E$15</definedName>
    <definedName name="rim_lf_w">'Quantity Takeoff'!$H$15</definedName>
    <definedName name="lvl_lf">'Quantity Takeoff'!$E$16</definedName>
    <definedName name="lvl_lf_w">'Quantity Takeoff'!$H$16</definedName>
    <definedName name="subfl_sf">'Quantity Takeoff'!$E$17</definedName>
    <definedName name="subfl_sf_w">'Quantity Takeoff'!$H$17</definedName>
    <definedName name="ext_pl2_lf">'Quantity Takeoff'!$E$19</definedName>
    <definedName name="ext_pl2_lf_w">'Quantity Takeoff'!$H$19</definedName>
    <definedName name="ext_st2_ea">'Quantity Takeoff'!$E$20</definedName>
    <definedName name="ext_st2_ea_w">'Quantity Takeoff'!$H$20</definedName>
    <definedName name="int_pl2_lf">'Quantity Takeoff'!$E$21</definedName>
    <definedName name="int_pl2_lf_w">'Quantity Takeoff'!$H$21</definedName>
    <definedName name="int_st2_ea">'Quantity Takeoff'!$E$22</definedName>
    <definedName name="int_st2_ea_w">'Quantity Takeoff'!$H$22</definedName>
    <definedName name="hdr2_lf">'Quantity Takeoff'!$E$23</definedName>
    <definedName name="hdr2_lf_w">'Quantity Takeoff'!$H$23</definedName>
    <definedName name="truss_comm">'Quantity Takeoff'!$E$24</definedName>
    <definedName name="truss_comm_w">'Quantity Takeoff'!$H$24</definedName>
    <definedName name="truss_gabl">'Quantity Takeoff'!$E$25</definedName>
    <definedName name="truss_gabl_w">'Quantity Takeoff'!$H$25</definedName>
    <definedName name="fascia_lf">'Quantity Takeoff'!$E$27</definedName>
    <definedName name="fascia_lf_w">'Quantity Takeoff'!$H$27</definedName>
    <definedName name="bracing_lf">'Quantity Takeoff'!$E$28</definedName>
    <definedName name="bracing_lf_w">'Quantity Takeoff'!$H$28</definedName>
    <definedName name="wall_osh_sf">'Quantity Takeoff'!$E$29</definedName>
    <definedName name="wall_osh_sf_w">'Quantity Takeoff'!$H$29</definedName>
    <definedName name="hwrap_sf">'Quantity Takeoff'!$E$30</definedName>
    <definedName name="hwrap_sf_w">'Quantity Takeoff'!$H$30</definedName>
    <definedName name="roof_osh_sf">'Quantity Takeoff'!$E$31</definedName>
    <definedName name="roof_osh_sf_w">'Quantity Takeoff'!$H$31</definedName>
    <definedName name="_xlnm._FilterDatabase" localSheetId="2" hidden="1">'Quantity Takeoff'!$A$5:$J$36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.####"/>
    <numFmt numFmtId="165" formatCode="0.0%"/>
    <numFmt numFmtId="166" formatCode="0.0"/>
    <numFmt numFmtId="167" formatCode="0.000"/>
    <numFmt numFmtId="168" formatCode="#,##0.00;(#,##0.00);&quot;-&quot;"/>
    <numFmt numFmtId="169" formatCode="$#,##0.00;($#,##0.00);&quot;-&quot;"/>
    <numFmt numFmtId="170" formatCode="0.0000"/>
    <numFmt numFmtId="171" formatCode="#,##0.0"/>
    <numFmt numFmtId="172" formatCode="$#,##0;($#,##0);&quot;-&quot;"/>
  </numFmts>
  <fonts count="15">
    <font>
      <name val="Calibri"/>
      <family val="2"/>
      <color theme="1"/>
      <sz val="11"/>
      <scheme val="minor"/>
    </font>
    <font>
      <name val="Arial"/>
      <b val="1"/>
      <color rgb="00FF6B35"/>
      <sz val="16"/>
    </font>
    <font>
      <name val="Arial"/>
      <b val="1"/>
      <color rgb="000B132B"/>
      <sz val="12"/>
    </font>
    <font>
      <name val="Arial"/>
      <i val="1"/>
      <color rgb="007A2E0E"/>
      <sz val="8"/>
    </font>
    <font>
      <name val="Arial"/>
      <b val="1"/>
      <sz val="9"/>
    </font>
    <font>
      <name val="Arial"/>
      <sz val="9"/>
    </font>
    <font>
      <name val="Arial"/>
      <b val="1"/>
      <color rgb="00FFFFFF"/>
      <sz val="9"/>
    </font>
    <font>
      <name val="Consolas"/>
      <color rgb="00555555"/>
      <sz val="9"/>
    </font>
    <font>
      <name val="Arial"/>
      <color rgb="000000FF"/>
      <sz val="9"/>
    </font>
    <font>
      <name val="Arial"/>
      <color rgb="00555555"/>
      <sz val="8"/>
    </font>
    <font>
      <name val="Consolas"/>
      <color rgb="00444444"/>
      <sz val="8"/>
    </font>
    <font>
      <name val="Arial"/>
      <sz val="8"/>
    </font>
    <font>
      <name val="Arial"/>
      <color rgb="00008000"/>
      <sz val="9"/>
    </font>
    <font>
      <name val="Arial"/>
      <i val="1"/>
      <color rgb="00555555"/>
      <sz val="8"/>
    </font>
    <font>
      <name val="Arial"/>
      <i val="1"/>
      <sz val="8"/>
    </font>
  </fonts>
  <fills count="5">
    <fill>
      <patternFill/>
    </fill>
    <fill>
      <patternFill patternType="gray125"/>
    </fill>
    <fill>
      <patternFill patternType="solid">
        <fgColor rgb="00FFF5F0"/>
      </patternFill>
    </fill>
    <fill>
      <patternFill patternType="solid">
        <fgColor rgb="000B132B"/>
      </patternFill>
    </fill>
    <fill>
      <patternFill patternType="solid">
        <fgColor rgb="00FFE3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5" fillId="0" borderId="1" pivotButton="0" quotePrefix="0" xfId="0"/>
    <xf numFmtId="0" fontId="7" fillId="0" borderId="1" pivotButton="0" quotePrefix="0" xfId="0"/>
    <xf numFmtId="164" fontId="8" fillId="0" borderId="1" pivotButton="0" quotePrefix="0" xfId="0"/>
    <xf numFmtId="0" fontId="5" fillId="0" borderId="1" applyAlignment="1" pivotButton="0" quotePrefix="0" xfId="0">
      <alignment vertical="top" wrapText="1"/>
    </xf>
    <xf numFmtId="164" fontId="5" fillId="0" borderId="1" pivotButton="0" quotePrefix="0" xfId="0"/>
    <xf numFmtId="165" fontId="8" fillId="0" borderId="1" pivotButton="0" quotePrefix="0" xfId="0"/>
    <xf numFmtId="0" fontId="9" fillId="0" borderId="0" applyAlignment="1" pivotButton="0" quotePrefix="0" xfId="0">
      <alignment vertical="top" wrapText="1"/>
    </xf>
    <xf numFmtId="166" fontId="8" fillId="0" borderId="1" pivotButton="0" quotePrefix="0" xfId="0"/>
    <xf numFmtId="1" fontId="8" fillId="0" borderId="1" pivotButton="0" quotePrefix="0" xfId="0"/>
    <xf numFmtId="3" fontId="5" fillId="0" borderId="1" pivotButton="0" quotePrefix="0" xfId="0"/>
    <xf numFmtId="167" fontId="8" fillId="0" borderId="1" pivotButton="0" quotePrefix="0" xfId="0"/>
    <xf numFmtId="0" fontId="4" fillId="4" borderId="0" pivotButton="0" quotePrefix="0" xfId="0"/>
    <xf numFmtId="1" fontId="4" fillId="4" borderId="0" pivotButton="0" quotePrefix="0" xfId="0"/>
    <xf numFmtId="3" fontId="4" fillId="4" borderId="0" pivotButton="0" quotePrefix="0" xfId="0"/>
    <xf numFmtId="0" fontId="9" fillId="0" borderId="0" pivotButton="0" quotePrefix="0" xfId="0"/>
    <xf numFmtId="168" fontId="5" fillId="0" borderId="1" pivotButton="0" quotePrefix="0" xfId="0"/>
    <xf numFmtId="168" fontId="4" fillId="0" borderId="1" pivotButton="0" quotePrefix="0" xfId="0"/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8" fontId="12" fillId="0" borderId="1" pivotButton="0" quotePrefix="0" xfId="0"/>
    <xf numFmtId="169" fontId="8" fillId="0" borderId="1" pivotButton="0" quotePrefix="0" xfId="0"/>
    <xf numFmtId="169" fontId="5" fillId="0" borderId="1" pivotButton="0" quotePrefix="0" xfId="0"/>
    <xf numFmtId="170" fontId="8" fillId="0" borderId="1" pivotButton="0" quotePrefix="0" xfId="0"/>
    <xf numFmtId="171" fontId="5" fillId="0" borderId="1" pivotButton="0" quotePrefix="0" xfId="0"/>
    <xf numFmtId="169" fontId="12" fillId="0" borderId="1" pivotButton="0" quotePrefix="0" xfId="0"/>
    <xf numFmtId="169" fontId="4" fillId="0" borderId="1" pivotButton="0" quotePrefix="0" xfId="0"/>
    <xf numFmtId="169" fontId="4" fillId="4" borderId="0" pivotButton="0" quotePrefix="0" xfId="0"/>
    <xf numFmtId="171" fontId="4" fillId="4" borderId="0" pivotButton="0" quotePrefix="0" xfId="0"/>
    <xf numFmtId="0" fontId="13" fillId="0" borderId="0" pivotButton="0" quotePrefix="0" xfId="0"/>
    <xf numFmtId="165" fontId="12" fillId="0" borderId="0" pivotButton="0" quotePrefix="0" xfId="0"/>
    <xf numFmtId="169" fontId="5" fillId="0" borderId="0" pivotButton="0" quotePrefix="0" xfId="0"/>
    <xf numFmtId="172" fontId="4" fillId="4" borderId="0" pivotButton="0" quotePrefix="0" xfId="0"/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22" customWidth="1" min="3" max="3"/>
    <col width="14" customWidth="1" min="4" max="4"/>
    <col width="10" customWidth="1" min="5" max="5"/>
    <col width="60" customWidth="1" min="6" max="6"/>
  </cols>
  <sheetData>
    <row r="1">
      <c r="A1" s="1" t="inlineStr">
        <is>
          <t>F&amp;K Estimatings</t>
        </is>
      </c>
    </row>
    <row r="2">
      <c r="A2" s="2" t="inlineStr">
        <is>
          <t>Wood Framing Takeoff Sample — Cover &amp; Basis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>
      <c r="A5" s="4" t="inlineStr">
        <is>
          <t>Project</t>
        </is>
      </c>
      <c r="B5" s="4" t="inlineStr">
        <is>
          <t>Representative sample project: 2,400 SF 2-story residential home (30' x 40' footprint)</t>
        </is>
      </c>
    </row>
    <row r="6">
      <c r="A6" s="4" t="inlineStr">
        <is>
          <t>Trade / CSI</t>
        </is>
      </c>
      <c r="B6" s="5" t="inlineStr">
        <is>
          <t>Rough Carpentry &amp; Framing — CSI Division 06</t>
        </is>
      </c>
    </row>
    <row r="7" ht="72" customHeight="1">
      <c r="A7" s="4" t="inlineStr">
        <is>
          <t>Description</t>
        </is>
      </c>
      <c r="B7" s="6" t="inlineStr">
        <is>
          <t>Complete structural rough carpentry and lumber takeoff for a 2,400 SF two-story custom single-family home (30' x 40' footprint). The estimate covers the entire structural wood package: pressure-treated mudsills with anchor bolts, 2x6 exterior wall framing @ 16" o.c., 2x4 interior partitions, built-up headers, engineered I-joist floor system with 3-ply LVL center girder, 3/4" T&amp;G glued and screwed subfloor, pre-engineered roof trusses @ 24" o.c., 7/16" OSB wall and roof sheathing with H-clips, and Simpson Strong-Tie structural hurricane ties, hold-downs, and joist hangers. Includes a full lumber cut list with board feet calculations.</t>
        </is>
      </c>
    </row>
    <row r="8">
      <c r="A8" s="4" t="inlineStr">
        <is>
          <t>Prepared by</t>
        </is>
      </c>
      <c r="B8" s="5" t="inlineStr">
        <is>
          <t>F&amp;K Estimatings (fandkestimatings.us) — sample for format illustration only</t>
        </is>
      </c>
    </row>
    <row r="10">
      <c r="A10" s="2" t="inlineStr">
        <is>
          <t>ASSUMPTIONS &amp; BASIS — blue values are inputs; change one and the workbook recalculates</t>
        </is>
      </c>
    </row>
    <row r="11" ht="26" customHeight="1">
      <c r="A11" s="7" t="inlineStr">
        <is>
          <t>Section</t>
        </is>
      </c>
      <c r="B11" s="7" t="inlineStr">
        <is>
          <t>Parameter</t>
        </is>
      </c>
      <c r="C11" s="7" t="inlineStr">
        <is>
          <t>Name used in formulas</t>
        </is>
      </c>
      <c r="D11" s="7" t="inlineStr">
        <is>
          <t>Value</t>
        </is>
      </c>
      <c r="E11" s="7" t="inlineStr">
        <is>
          <t>Unit</t>
        </is>
      </c>
      <c r="F11" s="7" t="inlineStr">
        <is>
          <t>Note / basis</t>
        </is>
      </c>
    </row>
    <row r="12">
      <c r="A12" s="8" t="inlineStr">
        <is>
          <t>Building</t>
        </is>
      </c>
      <c r="B12" s="8" t="inlineStr">
        <is>
          <t>Building width</t>
        </is>
      </c>
      <c r="C12" s="9" t="inlineStr">
        <is>
          <t>house_w</t>
        </is>
      </c>
      <c r="D12" s="10" t="n">
        <v>30</v>
      </c>
      <c r="E12" s="8" t="inlineStr">
        <is>
          <t>ft</t>
        </is>
      </c>
      <c r="F12" s="11" t="inlineStr">
        <is>
          <t>East-west dimension</t>
        </is>
      </c>
    </row>
    <row r="13">
      <c r="A13" s="8" t="inlineStr">
        <is>
          <t>Building</t>
        </is>
      </c>
      <c r="B13" s="8" t="inlineStr">
        <is>
          <t>Building length</t>
        </is>
      </c>
      <c r="C13" s="9" t="inlineStr">
        <is>
          <t>house_l</t>
        </is>
      </c>
      <c r="D13" s="10" t="n">
        <v>40</v>
      </c>
      <c r="E13" s="8" t="inlineStr">
        <is>
          <t>ft</t>
        </is>
      </c>
      <c r="F13" s="11" t="inlineStr">
        <is>
          <t>North-south dimension</t>
        </is>
      </c>
    </row>
    <row r="14">
      <c r="A14" s="8" t="inlineStr">
        <is>
          <t>Building</t>
        </is>
      </c>
      <c r="B14" s="8" t="inlineStr">
        <is>
          <t>Single floor footprint area</t>
        </is>
      </c>
      <c r="C14" s="9" t="inlineStr">
        <is>
          <t>floor_sf</t>
        </is>
      </c>
      <c r="D14" s="12">
        <f>house_w*house_l</f>
        <v>1200.0</v>
      </c>
      <c r="E14" s="8" t="inlineStr">
        <is>
          <t>SF</t>
        </is>
      </c>
      <c r="F14" s="11" t="inlineStr">
        <is>
          <t>1,200 SF per floor</t>
        </is>
      </c>
    </row>
    <row r="15">
      <c r="A15" s="8" t="inlineStr">
        <is>
          <t>Building</t>
        </is>
      </c>
      <c r="B15" s="8" t="inlineStr">
        <is>
          <t>Total finished living area (2 stories)</t>
        </is>
      </c>
      <c r="C15" s="9" t="inlineStr">
        <is>
          <t>gross_sf</t>
        </is>
      </c>
      <c r="D15" s="12">
        <f>2*floor_sf</f>
        <v>2400.0</v>
      </c>
      <c r="E15" s="8" t="inlineStr">
        <is>
          <t>SF</t>
        </is>
      </c>
      <c r="F15" s="11" t="inlineStr">
        <is>
          <t>2,400 SF total</t>
        </is>
      </c>
    </row>
    <row r="16">
      <c r="A16" s="8" t="inlineStr">
        <is>
          <t>Building</t>
        </is>
      </c>
      <c r="B16" s="8" t="inlineStr">
        <is>
          <t>Exterior foundation / wall perimeter</t>
        </is>
      </c>
      <c r="C16" s="9" t="inlineStr">
        <is>
          <t>perim_lf</t>
        </is>
      </c>
      <c r="D16" s="12">
        <f>2*(house_w+house_l)</f>
        <v>140.0</v>
      </c>
      <c r="E16" s="8" t="inlineStr">
        <is>
          <t>LF</t>
        </is>
      </c>
      <c r="F16" s="11" t="inlineStr">
        <is>
          <t>140 LF perimeter</t>
        </is>
      </c>
    </row>
    <row r="17">
      <c r="A17" s="8" t="inlineStr">
        <is>
          <t>Building</t>
        </is>
      </c>
      <c r="B17" s="8" t="inlineStr">
        <is>
          <t>First floor wall framing height</t>
        </is>
      </c>
      <c r="C17" s="9" t="inlineStr">
        <is>
          <t>fl1_ht</t>
        </is>
      </c>
      <c r="D17" s="10" t="n">
        <v>9</v>
      </c>
      <c r="E17" s="8" t="inlineStr">
        <is>
          <t>ft</t>
        </is>
      </c>
      <c r="F17" s="11" t="inlineStr">
        <is>
          <t>9'-0" wall height</t>
        </is>
      </c>
    </row>
    <row r="18">
      <c r="A18" s="8" t="inlineStr">
        <is>
          <t>Building</t>
        </is>
      </c>
      <c r="B18" s="8" t="inlineStr">
        <is>
          <t>Second floor wall framing height</t>
        </is>
      </c>
      <c r="C18" s="9" t="inlineStr">
        <is>
          <t>fl2_ht</t>
        </is>
      </c>
      <c r="D18" s="10" t="n">
        <v>8</v>
      </c>
      <c r="E18" s="8" t="inlineStr">
        <is>
          <t>ft</t>
        </is>
      </c>
      <c r="F18" s="11" t="inlineStr">
        <is>
          <t>8'-0" wall height</t>
        </is>
      </c>
    </row>
    <row r="19">
      <c r="A19" s="8" t="inlineStr">
        <is>
          <t>Building</t>
        </is>
      </c>
      <c r="B19" s="8" t="inlineStr">
        <is>
          <t>Second floor joist rim height</t>
        </is>
      </c>
      <c r="C19" s="9" t="inlineStr">
        <is>
          <t>rim_ht</t>
        </is>
      </c>
      <c r="D19" s="10" t="n">
        <v>1</v>
      </c>
      <c r="E19" s="8" t="inlineStr">
        <is>
          <t>ft</t>
        </is>
      </c>
      <c r="F19" s="11" t="inlineStr">
        <is>
          <t>11-7/8" joist rim band</t>
        </is>
      </c>
    </row>
    <row r="20">
      <c r="A20" s="8" t="inlineStr">
        <is>
          <t>Walls</t>
        </is>
      </c>
      <c r="B20" s="8" t="inlineStr">
        <is>
          <t>First floor interior partition length</t>
        </is>
      </c>
      <c r="C20" s="9" t="inlineStr">
        <is>
          <t>int_fl1_lf</t>
        </is>
      </c>
      <c r="D20" s="10" t="n">
        <v>120</v>
      </c>
      <c r="E20" s="8" t="inlineStr">
        <is>
          <t>LF</t>
        </is>
      </c>
      <c r="F20" s="11" t="inlineStr">
        <is>
          <t>Foyer, living, kitchen, bath, stairs</t>
        </is>
      </c>
    </row>
    <row r="21">
      <c r="A21" s="8" t="inlineStr">
        <is>
          <t>Walls</t>
        </is>
      </c>
      <c r="B21" s="8" t="inlineStr">
        <is>
          <t>Second floor interior partition length</t>
        </is>
      </c>
      <c r="C21" s="9" t="inlineStr">
        <is>
          <t>int_fl2_lf</t>
        </is>
      </c>
      <c r="D21" s="10" t="n">
        <v>140</v>
      </c>
      <c r="E21" s="8" t="inlineStr">
        <is>
          <t>LF</t>
        </is>
      </c>
      <c r="F21" s="11" t="inlineStr">
        <is>
          <t>Bedrooms, 2 baths, laundry, hallway</t>
        </is>
      </c>
    </row>
    <row r="22">
      <c r="A22" s="8" t="inlineStr">
        <is>
          <t>Walls</t>
        </is>
      </c>
      <c r="B22" s="8" t="inlineStr">
        <is>
          <t>Exterior wall sheathing gross area</t>
        </is>
      </c>
      <c r="C22" s="9" t="inlineStr">
        <is>
          <t>ext_wall_sf</t>
        </is>
      </c>
      <c r="D22" s="12">
        <f>perim_lf*(fl1_ht+fl2_ht+rim_ht)</f>
        <v>2520.0</v>
      </c>
      <c r="E22" s="8" t="inlineStr">
        <is>
          <t>SF</t>
        </is>
      </c>
      <c r="F22" s="11" t="inlineStr">
        <is>
          <t>140 LF x 18' total height</t>
        </is>
      </c>
    </row>
    <row r="23">
      <c r="A23" s="8" t="inlineStr">
        <is>
          <t>Floor</t>
        </is>
      </c>
      <c r="B23" s="8" t="inlineStr">
        <is>
          <t>Floor joist clear span (half width)</t>
        </is>
      </c>
      <c r="C23" s="9" t="inlineStr">
        <is>
          <t>joist_span</t>
        </is>
      </c>
      <c r="D23" s="12">
        <f>house_w/2</f>
        <v>15.0</v>
      </c>
      <c r="E23" s="8" t="inlineStr">
        <is>
          <t>ft</t>
        </is>
      </c>
      <c r="F23" s="11" t="inlineStr">
        <is>
          <t>Center LVL girder divides 30' span</t>
        </is>
      </c>
    </row>
    <row r="24">
      <c r="A24" s="8" t="inlineStr">
        <is>
          <t>Floor</t>
        </is>
      </c>
      <c r="B24" s="8" t="inlineStr">
        <is>
          <t>I-joist spacing on center</t>
        </is>
      </c>
      <c r="C24" s="9" t="inlineStr">
        <is>
          <t>joist_oc</t>
        </is>
      </c>
      <c r="D24" s="10" t="n">
        <v>16</v>
      </c>
      <c r="E24" s="8" t="inlineStr">
        <is>
          <t>in</t>
        </is>
      </c>
      <c r="F24" s="11" t="inlineStr">
        <is>
          <t>16" o.c. engineered floor system</t>
        </is>
      </c>
    </row>
    <row r="25">
      <c r="A25" s="8" t="inlineStr">
        <is>
          <t>Floor</t>
        </is>
      </c>
      <c r="B25" s="8" t="inlineStr">
        <is>
          <t>Number of joist lines per floor length</t>
        </is>
      </c>
      <c r="C25" s="9" t="inlineStr">
        <is>
          <t>joist_runs</t>
        </is>
      </c>
      <c r="D25" s="12">
        <f>ROUNDUP(house_l/(joist_oc/12),0)+1</f>
        <v>31.0</v>
      </c>
      <c r="E25" s="8" t="inlineStr">
        <is>
          <t>EA</t>
        </is>
      </c>
      <c r="F25" s="11" t="inlineStr">
        <is>
          <t>31 joist lines along 40' length</t>
        </is>
      </c>
    </row>
    <row r="26">
      <c r="A26" s="8" t="inlineStr">
        <is>
          <t>Floor</t>
        </is>
      </c>
      <c r="B26" s="8" t="inlineStr">
        <is>
          <t>Second floor subfloor deck area</t>
        </is>
      </c>
      <c r="C26" s="9" t="inlineStr">
        <is>
          <t>subfloor_sf</t>
        </is>
      </c>
      <c r="D26" s="12">
        <f>floor_sf</f>
        <v>1200.0</v>
      </c>
      <c r="E26" s="8" t="inlineStr">
        <is>
          <t>SF</t>
        </is>
      </c>
      <c r="F26" s="11" t="inlineStr">
        <is>
          <t>1,200 SF 3/4" T&amp;G OSB</t>
        </is>
      </c>
    </row>
    <row r="27">
      <c r="A27" s="8" t="inlineStr">
        <is>
          <t>Roof</t>
        </is>
      </c>
      <c r="B27" s="8" t="inlineStr">
        <is>
          <t>Eave and rake overhang width</t>
        </is>
      </c>
      <c r="C27" s="9" t="inlineStr">
        <is>
          <t>roof_overhang</t>
        </is>
      </c>
      <c r="D27" s="10" t="n">
        <v>1</v>
      </c>
      <c r="E27" s="8" t="inlineStr">
        <is>
          <t>ft</t>
        </is>
      </c>
      <c r="F27" s="11" t="inlineStr">
        <is>
          <t>12" closed soffit overhang</t>
        </is>
      </c>
    </row>
    <row r="28">
      <c r="A28" s="8" t="inlineStr">
        <is>
          <t>Roof</t>
        </is>
      </c>
      <c r="B28" s="8" t="inlineStr">
        <is>
          <t>Total roof length along ridge (incl. rakes)</t>
        </is>
      </c>
      <c r="C28" s="9" t="inlineStr">
        <is>
          <t>roof_len</t>
        </is>
      </c>
      <c r="D28" s="12">
        <f>house_l+2*roof_overhang</f>
        <v>42.0</v>
      </c>
      <c r="E28" s="8" t="inlineStr">
        <is>
          <t>ft</t>
        </is>
      </c>
      <c r="F28" s="11" t="inlineStr">
        <is>
          <t>42'-0" total length</t>
        </is>
      </c>
    </row>
    <row r="29">
      <c r="A29" s="8" t="inlineStr">
        <is>
          <t>Roof</t>
        </is>
      </c>
      <c r="B29" s="8" t="inlineStr">
        <is>
          <t>Roof truss span (incl. eaves)</t>
        </is>
      </c>
      <c r="C29" s="9" t="inlineStr">
        <is>
          <t>truss_span</t>
        </is>
      </c>
      <c r="D29" s="12">
        <f>house_w+2*roof_overhang</f>
        <v>32.0</v>
      </c>
      <c r="E29" s="8" t="inlineStr">
        <is>
          <t>ft</t>
        </is>
      </c>
      <c r="F29" s="11" t="inlineStr">
        <is>
          <t>32'-0" truss span</t>
        </is>
      </c>
    </row>
    <row r="30">
      <c r="A30" s="8" t="inlineStr">
        <is>
          <t>Roof</t>
        </is>
      </c>
      <c r="B30" s="8" t="inlineStr">
        <is>
          <t>Roof truss spacing on center</t>
        </is>
      </c>
      <c r="C30" s="9" t="inlineStr">
        <is>
          <t>truss_oc</t>
        </is>
      </c>
      <c r="D30" s="10" t="n">
        <v>24</v>
      </c>
      <c r="E30" s="8" t="inlineStr">
        <is>
          <t>in</t>
        </is>
      </c>
      <c r="F30" s="11" t="inlineStr">
        <is>
          <t>24" o.c. engineered trusses</t>
        </is>
      </c>
    </row>
    <row r="31">
      <c r="A31" s="8" t="inlineStr">
        <is>
          <t>Roof</t>
        </is>
      </c>
      <c r="B31" s="8" t="inlineStr">
        <is>
          <t>Common prefabricated roof trusses</t>
        </is>
      </c>
      <c r="C31" s="9" t="inlineStr">
        <is>
          <t>truss_count</t>
        </is>
      </c>
      <c r="D31" s="12">
        <f>ROUNDUP(roof_len/(truss_oc/12),0)-1</f>
        <v>20.0</v>
      </c>
      <c r="E31" s="8" t="inlineStr">
        <is>
          <t>EA</t>
        </is>
      </c>
      <c r="F31" s="11" t="inlineStr">
        <is>
          <t>20 common trusses</t>
        </is>
      </c>
    </row>
    <row r="32">
      <c r="A32" s="8" t="inlineStr">
        <is>
          <t>Roof</t>
        </is>
      </c>
      <c r="B32" s="8" t="inlineStr">
        <is>
          <t>Gable end roof trusses</t>
        </is>
      </c>
      <c r="C32" s="9" t="inlineStr">
        <is>
          <t>gable_count</t>
        </is>
      </c>
      <c r="D32" s="10" t="n">
        <v>2</v>
      </c>
      <c r="E32" s="8" t="inlineStr">
        <is>
          <t>EA</t>
        </is>
      </c>
      <c r="F32" s="11" t="inlineStr">
        <is>
          <t>2 gable ends</t>
        </is>
      </c>
    </row>
    <row r="33">
      <c r="A33" s="8" t="inlineStr">
        <is>
          <t>Roof</t>
        </is>
      </c>
      <c r="B33" s="8" t="inlineStr">
        <is>
          <t>Roof pitch multiplier (6:12 pitch)</t>
        </is>
      </c>
      <c r="C33" s="9" t="inlineStr">
        <is>
          <t>pitch_mult</t>
        </is>
      </c>
      <c r="D33" s="10" t="n">
        <v>1.118</v>
      </c>
      <c r="E33" s="8" t="inlineStr">
        <is>
          <t>FACTOR</t>
        </is>
      </c>
      <c r="F33" s="11" t="inlineStr">
        <is>
          <t>sqrt(1 + (6/12)^2) = 1.118</t>
        </is>
      </c>
    </row>
    <row r="34">
      <c r="A34" s="8" t="inlineStr">
        <is>
          <t>Roof</t>
        </is>
      </c>
      <c r="B34" s="8" t="inlineStr">
        <is>
          <t>Total sloped roof deck surface area</t>
        </is>
      </c>
      <c r="C34" s="9" t="inlineStr">
        <is>
          <t>roof_sf</t>
        </is>
      </c>
      <c r="D34" s="12">
        <f>truss_span*pitch_mult*roof_len</f>
        <v>1502.592</v>
      </c>
      <c r="E34" s="8" t="inlineStr">
        <is>
          <t>SF</t>
        </is>
      </c>
      <c r="F34" s="11" t="inlineStr">
        <is>
          <t>1,502 SF sloped sheathing area</t>
        </is>
      </c>
    </row>
    <row r="35">
      <c r="A35" s="8" t="inlineStr">
        <is>
          <t>Hardware</t>
        </is>
      </c>
      <c r="B35" s="8" t="inlineStr">
        <is>
          <t>Foundation sill anchor spacing</t>
        </is>
      </c>
      <c r="C35" s="9" t="inlineStr">
        <is>
          <t>anchor_spacing</t>
        </is>
      </c>
      <c r="D35" s="10" t="n">
        <v>4</v>
      </c>
      <c r="E35" s="8" t="inlineStr">
        <is>
          <t>ft</t>
        </is>
      </c>
      <c r="F35" s="11" t="inlineStr">
        <is>
          <t>1/2" anchor bolts @ 4'-0" o.c. max</t>
        </is>
      </c>
    </row>
    <row r="36">
      <c r="A36" s="8" t="inlineStr">
        <is>
          <t>Hardware</t>
        </is>
      </c>
      <c r="B36" s="8" t="inlineStr">
        <is>
          <t>Foundation anchor bolts count</t>
        </is>
      </c>
      <c r="C36" s="9" t="inlineStr">
        <is>
          <t>anchors_n</t>
        </is>
      </c>
      <c r="D36" s="12">
        <f>ROUNDUP(perim_lf/anchor_spacing,0)+8</f>
        <v>43.0</v>
      </c>
      <c r="E36" s="8" t="inlineStr">
        <is>
          <t>EA</t>
        </is>
      </c>
      <c r="F36" s="11" t="inlineStr">
        <is>
          <t>43 anchor bolts incl. corner pairs</t>
        </is>
      </c>
    </row>
    <row r="37">
      <c r="A37" s="8" t="inlineStr">
        <is>
          <t>Hardware</t>
        </is>
      </c>
      <c r="B37" s="8" t="inlineStr">
        <is>
          <t>Hurricane ties (truss to double top plate)</t>
        </is>
      </c>
      <c r="C37" s="9" t="inlineStr">
        <is>
          <t>hurr_ties_n</t>
        </is>
      </c>
      <c r="D37" s="12">
        <f>2*(truss_count+gable_count)</f>
        <v>44.0</v>
      </c>
      <c r="E37" s="8" t="inlineStr">
        <is>
          <t>EA</t>
        </is>
      </c>
      <c r="F37" s="11" t="inlineStr">
        <is>
          <t>Both ends of each truss</t>
        </is>
      </c>
    </row>
    <row r="38">
      <c r="A38" s="8" t="inlineStr">
        <is>
          <t>Hardware</t>
        </is>
      </c>
      <c r="B38" s="8" t="inlineStr">
        <is>
          <t>I-joist top flange hangers at center girder</t>
        </is>
      </c>
      <c r="C38" s="9" t="inlineStr">
        <is>
          <t>joist_hgr_n</t>
        </is>
      </c>
      <c r="D38" s="12">
        <f>2*joist_runs</f>
        <v>62.0</v>
      </c>
      <c r="E38" s="8" t="inlineStr">
        <is>
          <t>EA</t>
        </is>
      </c>
      <c r="F38" s="11" t="inlineStr">
        <is>
          <t>Each side of LVL center girder</t>
        </is>
      </c>
    </row>
    <row r="39">
      <c r="A39" s="8" t="inlineStr">
        <is>
          <t>Hardware</t>
        </is>
      </c>
      <c r="B39" s="8" t="inlineStr">
        <is>
          <t>Shear wall structural hold-downs</t>
        </is>
      </c>
      <c r="C39" s="9" t="inlineStr">
        <is>
          <t>holddown_n</t>
        </is>
      </c>
      <c r="D39" s="10" t="n">
        <v>8</v>
      </c>
      <c r="E39" s="8" t="inlineStr">
        <is>
          <t>EA</t>
        </is>
      </c>
      <c r="F39" s="11" t="inlineStr">
        <is>
          <t>Simpson HD2A at 4 exterior corners</t>
        </is>
      </c>
    </row>
    <row r="40">
      <c r="A40" s="8" t="inlineStr">
        <is>
          <t>Rates</t>
        </is>
      </c>
      <c r="B40" s="8" t="inlineStr">
        <is>
          <t>Framing carpenter burdened labor rate</t>
        </is>
      </c>
      <c r="C40" s="9" t="inlineStr">
        <is>
          <t>rate_framing</t>
        </is>
      </c>
      <c r="D40" s="10" t="n">
        <v>72</v>
      </c>
      <c r="E40" s="8" t="inlineStr">
        <is>
          <t>$/hr</t>
        </is>
      </c>
      <c r="F40" s="11" t="inlineStr">
        <is>
          <t>Illustrative</t>
        </is>
      </c>
    </row>
    <row r="41">
      <c r="A41" s="8" t="inlineStr">
        <is>
          <t>Rates</t>
        </is>
      </c>
      <c r="B41" s="8" t="inlineStr">
        <is>
          <t>Lead framing carpenter / foreman</t>
        </is>
      </c>
      <c r="C41" s="9" t="inlineStr">
        <is>
          <t>rate_lead</t>
        </is>
      </c>
      <c r="D41" s="10" t="n">
        <v>84</v>
      </c>
      <c r="E41" s="8" t="inlineStr">
        <is>
          <t>$/hr</t>
        </is>
      </c>
      <c r="F41" s="11" t="inlineStr">
        <is>
          <t>Illustrative</t>
        </is>
      </c>
    </row>
    <row r="42">
      <c r="A42" s="8" t="inlineStr">
        <is>
          <t>Rates</t>
        </is>
      </c>
      <c r="B42" s="8" t="inlineStr">
        <is>
          <t>Crane rental &amp; operator for truss set</t>
        </is>
      </c>
      <c r="C42" s="9" t="inlineStr">
        <is>
          <t>rate_crane</t>
        </is>
      </c>
      <c r="D42" s="10" t="n">
        <v>220</v>
      </c>
      <c r="E42" s="8" t="inlineStr">
        <is>
          <t>$/hr</t>
        </is>
      </c>
      <c r="F42" s="11" t="inlineStr">
        <is>
          <t>Truss setting crane</t>
        </is>
      </c>
    </row>
    <row r="43">
      <c r="A43" s="8" t="inlineStr">
        <is>
          <t>Markups</t>
        </is>
      </c>
      <c r="B43" s="8" t="inlineStr">
        <is>
          <t>Sales tax on material</t>
        </is>
      </c>
      <c r="C43" s="9" t="inlineStr">
        <is>
          <t>tax_rate</t>
        </is>
      </c>
      <c r="D43" s="13" t="n">
        <v>0.07000000000000001</v>
      </c>
      <c r="E43" s="8" t="inlineStr">
        <is>
          <t>%</t>
        </is>
      </c>
      <c r="F43" s="11" t="inlineStr">
        <is>
          <t>Assumption</t>
        </is>
      </c>
    </row>
    <row r="44">
      <c r="A44" s="8" t="inlineStr">
        <is>
          <t>Markups</t>
        </is>
      </c>
      <c r="B44" s="8" t="inlineStr">
        <is>
          <t>Overhead</t>
        </is>
      </c>
      <c r="C44" s="9" t="inlineStr">
        <is>
          <t>oh_pct</t>
        </is>
      </c>
      <c r="D44" s="13" t="n">
        <v>0.1</v>
      </c>
      <c r="E44" s="8" t="inlineStr">
        <is>
          <t>%</t>
        </is>
      </c>
      <c r="F44" s="11" t="inlineStr">
        <is>
          <t>Assumption</t>
        </is>
      </c>
    </row>
    <row r="45">
      <c r="A45" s="8" t="inlineStr">
        <is>
          <t>Markups</t>
        </is>
      </c>
      <c r="B45" s="8" t="inlineStr">
        <is>
          <t>Profit</t>
        </is>
      </c>
      <c r="C45" s="9" t="inlineStr">
        <is>
          <t>profit_pct</t>
        </is>
      </c>
      <c r="D45" s="13" t="n">
        <v>0.1</v>
      </c>
      <c r="E45" s="8" t="inlineStr">
        <is>
          <t>%</t>
        </is>
      </c>
      <c r="F45" s="11" t="inlineStr">
        <is>
          <t>Assumption</t>
        </is>
      </c>
    </row>
    <row r="47">
      <c r="A47" s="2" t="inlineStr">
        <is>
          <t>SCOPE INCLUDED</t>
        </is>
      </c>
    </row>
    <row r="48">
      <c r="B48" s="5" t="inlineStr">
        <is>
          <t>• Complete wood rough framing structure (1st &amp; 2nd floor walls, floor, roof)</t>
        </is>
      </c>
    </row>
    <row r="49">
      <c r="B49" s="5" t="inlineStr">
        <is>
          <t>• Pressure-treated mudsills, sill sealer, and 1/2" foundation anchor bolts</t>
        </is>
      </c>
    </row>
    <row r="50">
      <c r="B50" s="5" t="inlineStr">
        <is>
          <t>• Engineered 11-7/8" I-joist floor system with 3-ply 1-3/4" LVL girder beam</t>
        </is>
      </c>
    </row>
    <row r="51">
      <c r="B51" s="5" t="inlineStr">
        <is>
          <t>• 3/4" T&amp;G OSB subfloor glued and screwed to joists</t>
        </is>
      </c>
    </row>
    <row r="52">
      <c r="B52" s="5" t="inlineStr">
        <is>
          <t>• Pre-engineered roof trusses (32' span, 6:12 pitch) and crane set</t>
        </is>
      </c>
    </row>
    <row r="53">
      <c r="B53" s="5" t="inlineStr">
        <is>
          <t>• 7/16" OSB wall sheathing, building wrap, and 7/16" OSB roof sheathing with H-clips</t>
        </is>
      </c>
    </row>
    <row r="54">
      <c r="B54" s="5" t="inlineStr">
        <is>
          <t>• Simpson Strong-Tie hurricane ties, joist hangers, hold-downs, and nails</t>
        </is>
      </c>
    </row>
    <row r="55">
      <c r="B55" s="5" t="inlineStr">
        <is>
          <t>• Itemized dimensional lumber cut list with board footage (BF) totals</t>
        </is>
      </c>
    </row>
    <row r="57">
      <c r="A57" s="2" t="inlineStr">
        <is>
          <t>EXCLUSIONS / BY OTHERS</t>
        </is>
      </c>
    </row>
    <row r="58">
      <c r="B58" s="5" t="inlineStr">
        <is>
          <t>• Concrete foundation, footings, and slab (Div 03)</t>
        </is>
      </c>
    </row>
    <row r="59">
      <c r="B59" s="5" t="inlineStr">
        <is>
          <t>• Asphalt shingle roofing, underlayment, and flashings (Div 07)</t>
        </is>
      </c>
    </row>
    <row r="60">
      <c r="B60" s="5" t="inlineStr">
        <is>
          <t>• Exterior siding, soffits, and fascia metal wrap (Div 07)</t>
        </is>
      </c>
    </row>
    <row r="61">
      <c r="B61" s="5" t="inlineStr">
        <is>
          <t>• Windows, entry doors, and patio doors supply or installation (Div 08)</t>
        </is>
      </c>
    </row>
    <row r="62">
      <c r="B62" s="5" t="inlineStr">
        <is>
          <t>• Stair stringers, treads, and handrails (Div 06 finish carpentry)</t>
        </is>
      </c>
    </row>
    <row r="63">
      <c r="B63" s="5" t="inlineStr">
        <is>
          <t>• Interior drywall, insulation, and paint finishes (Div 09)</t>
        </is>
      </c>
    </row>
    <row r="65">
      <c r="A65" s="2" t="inlineStr">
        <is>
          <t>SAMPLE DRAWING LIST (sheets of the representative sample project, not a real plan set)</t>
        </is>
      </c>
    </row>
    <row r="66">
      <c r="B66" s="5" t="inlineStr">
        <is>
          <t>• S-101 — Foundation &amp; Anchor Bolt Placement Plan (sample)</t>
        </is>
      </c>
    </row>
    <row r="67">
      <c r="B67" s="5" t="inlineStr">
        <is>
          <t>• S-102 — First Floor Framing &amp; Shear Wall Plan (sample)</t>
        </is>
      </c>
    </row>
    <row r="68">
      <c r="B68" s="5" t="inlineStr">
        <is>
          <t>• S-103 — Second Floor Joist &amp; Girder Framing Plan (sample)</t>
        </is>
      </c>
    </row>
    <row r="69">
      <c r="B69" s="5" t="inlineStr">
        <is>
          <t>• S-104 — Roof Truss Layout &amp; Structural Connector Details (sample)</t>
        </is>
      </c>
    </row>
  </sheetData>
  <mergeCells count="2">
    <mergeCell ref="A3:F3"/>
    <mergeCell ref="B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10" customWidth="1" min="5" max="5"/>
    <col width="6" customWidth="1" min="6" max="6"/>
    <col width="9" customWidth="1" min="7" max="7"/>
    <col width="8" customWidth="1" min="8" max="8"/>
    <col width="9" customWidth="1" min="9" max="9"/>
  </cols>
  <sheetData>
    <row r="1">
      <c r="A1" s="1" t="inlineStr">
        <is>
          <t>F&amp;K Estimatings</t>
        </is>
      </c>
    </row>
    <row r="2">
      <c r="A2" s="2" t="inlineStr">
        <is>
          <t>Wood Framing Takeoff Sample — Itemized dimensional lumber schedules with board footage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 ht="30" customHeight="1">
      <c r="A4" s="14" t="inlineStr">
        <is>
          <t>Board feet (BF) = Nominal Thickness (in) x Nominal Width (in) / 12 x Length (ft). Precut studs are carried at exact commercial lengths. Engineered joists, LVLs, and trusses are carried by piece/LF in takeoff.</t>
        </is>
      </c>
    </row>
    <row r="5" ht="26" customHeight="1">
      <c r="A5" s="7" t="inlineStr">
        <is>
          <t>Mark</t>
        </is>
      </c>
      <c r="B5" s="7" t="inlineStr">
        <is>
          <t>Member Description</t>
        </is>
      </c>
      <c r="C5" s="7" t="inlineStr">
        <is>
          <t>Grade / Spec</t>
        </is>
      </c>
      <c r="D5" s="7" t="inlineStr">
        <is>
          <t>Nom. Size</t>
        </is>
      </c>
      <c r="E5" s="7" t="inlineStr">
        <is>
          <t>Length (ft)</t>
        </is>
      </c>
      <c r="F5" s="7" t="inlineStr">
        <is>
          <t>Qty</t>
        </is>
      </c>
      <c r="G5" s="7" t="inlineStr">
        <is>
          <t>Total LF</t>
        </is>
      </c>
      <c r="H5" s="7" t="inlineStr">
        <is>
          <t>BF / LF</t>
        </is>
      </c>
      <c r="I5" s="7" t="inlineStr">
        <is>
          <t>Total BF</t>
        </is>
      </c>
    </row>
    <row r="6">
      <c r="A6" s="8" t="inlineStr">
        <is>
          <t>MS-1</t>
        </is>
      </c>
      <c r="B6" s="8" t="inlineStr">
        <is>
          <t>Treated mudsill plate (perimeter)</t>
        </is>
      </c>
      <c r="C6" s="8" t="inlineStr">
        <is>
          <t>SYP #2 Pressure Treated</t>
        </is>
      </c>
      <c r="D6" s="8" t="inlineStr">
        <is>
          <t>2x6</t>
        </is>
      </c>
      <c r="E6" s="15" t="n">
        <v>16</v>
      </c>
      <c r="F6" s="16" t="n">
        <v>9</v>
      </c>
      <c r="G6" s="17">
        <f>F6*E6</f>
        <v>144.0</v>
      </c>
      <c r="H6" s="18" t="n">
        <v>1</v>
      </c>
      <c r="I6" s="17">
        <f>G6*H6</f>
        <v>144.0</v>
      </c>
    </row>
    <row r="7">
      <c r="A7" s="8" t="inlineStr">
        <is>
          <t>PL-1</t>
        </is>
      </c>
      <c r="B7" s="8" t="inlineStr">
        <is>
          <t>1st floor exterior wall plates (sole + dbl top)</t>
        </is>
      </c>
      <c r="C7" s="8" t="inlineStr">
        <is>
          <t>SPF #2</t>
        </is>
      </c>
      <c r="D7" s="8" t="inlineStr">
        <is>
          <t>2x6</t>
        </is>
      </c>
      <c r="E7" s="15" t="n">
        <v>16</v>
      </c>
      <c r="F7" s="16" t="n">
        <v>27</v>
      </c>
      <c r="G7" s="17">
        <f>F7*E7</f>
        <v>432.0</v>
      </c>
      <c r="H7" s="18" t="n">
        <v>1</v>
      </c>
      <c r="I7" s="17">
        <f>G7*H7</f>
        <v>432.0</v>
      </c>
    </row>
    <row r="8">
      <c r="A8" s="8" t="inlineStr">
        <is>
          <t>ST-1</t>
        </is>
      </c>
      <c r="B8" s="8" t="inlineStr">
        <is>
          <t>1st floor exterior studs (precut 104-5/8")</t>
        </is>
      </c>
      <c r="C8" s="8" t="inlineStr">
        <is>
          <t>SPF Stud Grade</t>
        </is>
      </c>
      <c r="D8" s="8" t="inlineStr">
        <is>
          <t>2x6</t>
        </is>
      </c>
      <c r="E8" s="15" t="n">
        <v>8.720000000000001</v>
      </c>
      <c r="F8" s="16" t="n">
        <v>145</v>
      </c>
      <c r="G8" s="17">
        <f>F8*E8</f>
        <v>1264.4</v>
      </c>
      <c r="H8" s="18" t="n">
        <v>1</v>
      </c>
      <c r="I8" s="17">
        <f>G8*H8</f>
        <v>1264.4</v>
      </c>
    </row>
    <row r="9">
      <c r="A9" s="8" t="inlineStr">
        <is>
          <t>PL-2</t>
        </is>
      </c>
      <c r="B9" s="8" t="inlineStr">
        <is>
          <t>1st floor interior plates (sole + dbl top)</t>
        </is>
      </c>
      <c r="C9" s="8" t="inlineStr">
        <is>
          <t>SPF #2</t>
        </is>
      </c>
      <c r="D9" s="8" t="inlineStr">
        <is>
          <t>2x4</t>
        </is>
      </c>
      <c r="E9" s="15" t="n">
        <v>16</v>
      </c>
      <c r="F9" s="16" t="n">
        <v>23</v>
      </c>
      <c r="G9" s="17">
        <f>F9*E9</f>
        <v>368.0</v>
      </c>
      <c r="H9" s="18" t="n">
        <v>0.667</v>
      </c>
      <c r="I9" s="17">
        <f>G9*H9</f>
        <v>245.45600000000002</v>
      </c>
    </row>
    <row r="10">
      <c r="A10" s="8" t="inlineStr">
        <is>
          <t>ST-2</t>
        </is>
      </c>
      <c r="B10" s="8" t="inlineStr">
        <is>
          <t>1st floor interior studs (precut 104-5/8")</t>
        </is>
      </c>
      <c r="C10" s="8" t="inlineStr">
        <is>
          <t>SPF Stud Grade</t>
        </is>
      </c>
      <c r="D10" s="8" t="inlineStr">
        <is>
          <t>2x4</t>
        </is>
      </c>
      <c r="E10" s="15" t="n">
        <v>8.720000000000001</v>
      </c>
      <c r="F10" s="16" t="n">
        <v>115</v>
      </c>
      <c r="G10" s="17">
        <f>F10*E10</f>
        <v>1002.8000000000001</v>
      </c>
      <c r="H10" s="18" t="n">
        <v>0.667</v>
      </c>
      <c r="I10" s="17">
        <f>G10*H10</f>
        <v>668.8676</v>
      </c>
    </row>
    <row r="11">
      <c r="A11" s="8" t="inlineStr">
        <is>
          <t>PL-3</t>
        </is>
      </c>
      <c r="B11" s="8" t="inlineStr">
        <is>
          <t>2nd floor exterior wall plates (sole + dbl top)</t>
        </is>
      </c>
      <c r="C11" s="8" t="inlineStr">
        <is>
          <t>SPF #2</t>
        </is>
      </c>
      <c r="D11" s="8" t="inlineStr">
        <is>
          <t>2x6</t>
        </is>
      </c>
      <c r="E11" s="15" t="n">
        <v>16</v>
      </c>
      <c r="F11" s="16" t="n">
        <v>27</v>
      </c>
      <c r="G11" s="17">
        <f>F11*E11</f>
        <v>432.0</v>
      </c>
      <c r="H11" s="18" t="n">
        <v>1</v>
      </c>
      <c r="I11" s="17">
        <f>G11*H11</f>
        <v>432.0</v>
      </c>
    </row>
    <row r="12">
      <c r="A12" s="8" t="inlineStr">
        <is>
          <t>ST-3</t>
        </is>
      </c>
      <c r="B12" s="8" t="inlineStr">
        <is>
          <t>2nd floor exterior studs (precut 92-5/8")</t>
        </is>
      </c>
      <c r="C12" s="8" t="inlineStr">
        <is>
          <t>SPF Stud Grade</t>
        </is>
      </c>
      <c r="D12" s="8" t="inlineStr">
        <is>
          <t>2x6</t>
        </is>
      </c>
      <c r="E12" s="15" t="n">
        <v>7.72</v>
      </c>
      <c r="F12" s="16" t="n">
        <v>140</v>
      </c>
      <c r="G12" s="17">
        <f>F12*E12</f>
        <v>1080.8</v>
      </c>
      <c r="H12" s="18" t="n">
        <v>1</v>
      </c>
      <c r="I12" s="17">
        <f>G12*H12</f>
        <v>1080.8</v>
      </c>
    </row>
    <row r="13">
      <c r="A13" s="8" t="inlineStr">
        <is>
          <t>PL-4</t>
        </is>
      </c>
      <c r="B13" s="8" t="inlineStr">
        <is>
          <t>2nd floor interior plates (sole + dbl top)</t>
        </is>
      </c>
      <c r="C13" s="8" t="inlineStr">
        <is>
          <t>SPF #2</t>
        </is>
      </c>
      <c r="D13" s="8" t="inlineStr">
        <is>
          <t>2x4</t>
        </is>
      </c>
      <c r="E13" s="15" t="n">
        <v>16</v>
      </c>
      <c r="F13" s="16" t="n">
        <v>27</v>
      </c>
      <c r="G13" s="17">
        <f>F13*E13</f>
        <v>432.0</v>
      </c>
      <c r="H13" s="18" t="n">
        <v>0.667</v>
      </c>
      <c r="I13" s="17">
        <f>G13*H13</f>
        <v>288.144</v>
      </c>
    </row>
    <row r="14">
      <c r="A14" s="8" t="inlineStr">
        <is>
          <t>ST-4</t>
        </is>
      </c>
      <c r="B14" s="8" t="inlineStr">
        <is>
          <t>2nd floor interior studs (precut 92-5/8")</t>
        </is>
      </c>
      <c r="C14" s="8" t="inlineStr">
        <is>
          <t>SPF Stud Grade</t>
        </is>
      </c>
      <c r="D14" s="8" t="inlineStr">
        <is>
          <t>2x4</t>
        </is>
      </c>
      <c r="E14" s="15" t="n">
        <v>7.72</v>
      </c>
      <c r="F14" s="16" t="n">
        <v>135</v>
      </c>
      <c r="G14" s="17">
        <f>F14*E14</f>
        <v>1042.2</v>
      </c>
      <c r="H14" s="18" t="n">
        <v>0.667</v>
      </c>
      <c r="I14" s="17">
        <f>G14*H14</f>
        <v>695.1474000000001</v>
      </c>
    </row>
    <row r="15">
      <c r="A15" s="8" t="inlineStr">
        <is>
          <t>HDR-1</t>
        </is>
      </c>
      <c r="B15" s="8" t="inlineStr">
        <is>
          <t>Exterior door &amp; window headers (double 2x10)</t>
        </is>
      </c>
      <c r="C15" s="8" t="inlineStr">
        <is>
          <t>#2 SPF</t>
        </is>
      </c>
      <c r="D15" s="8" t="inlineStr">
        <is>
          <t>2x10</t>
        </is>
      </c>
      <c r="E15" s="15" t="n">
        <v>12</v>
      </c>
      <c r="F15" s="16" t="n">
        <v>14</v>
      </c>
      <c r="G15" s="17">
        <f>F15*E15</f>
        <v>168.0</v>
      </c>
      <c r="H15" s="18" t="n">
        <v>1.667</v>
      </c>
      <c r="I15" s="17">
        <f>G15*H15</f>
        <v>280.056</v>
      </c>
    </row>
    <row r="16">
      <c r="A16" s="8" t="inlineStr">
        <is>
          <t>FAS-1</t>
        </is>
      </c>
      <c r="B16" s="8" t="inlineStr">
        <is>
          <t>Eave and rake subfascia</t>
        </is>
      </c>
      <c r="C16" s="8" t="inlineStr">
        <is>
          <t>#2 SPF</t>
        </is>
      </c>
      <c r="D16" s="8" t="inlineStr">
        <is>
          <t>2x6</t>
        </is>
      </c>
      <c r="E16" s="15" t="n">
        <v>16</v>
      </c>
      <c r="F16" s="16" t="n">
        <v>10</v>
      </c>
      <c r="G16" s="17">
        <f>F16*E16</f>
        <v>160.0</v>
      </c>
      <c r="H16" s="18" t="n">
        <v>1</v>
      </c>
      <c r="I16" s="17">
        <f>G16*H16</f>
        <v>160.0</v>
      </c>
    </row>
    <row r="17">
      <c r="A17" s="8" t="inlineStr">
        <is>
          <t>BRK-1</t>
        </is>
      </c>
      <c r="B17" s="8" t="inlineStr">
        <is>
          <t>Temporary and permanent truss lateral bracing</t>
        </is>
      </c>
      <c r="C17" s="8" t="inlineStr">
        <is>
          <t>#2 SPF / Econ</t>
        </is>
      </c>
      <c r="D17" s="8" t="inlineStr">
        <is>
          <t>2x4</t>
        </is>
      </c>
      <c r="E17" s="15" t="n">
        <v>16</v>
      </c>
      <c r="F17" s="16" t="n">
        <v>25</v>
      </c>
      <c r="G17" s="17">
        <f>F17*E17</f>
        <v>400.0</v>
      </c>
      <c r="H17" s="18" t="n">
        <v>0.667</v>
      </c>
      <c r="I17" s="17">
        <f>G17*H17</f>
        <v>266.8</v>
      </c>
    </row>
    <row r="18">
      <c r="A18" s="19" t="inlineStr">
        <is>
          <t>Totals</t>
        </is>
      </c>
      <c r="F18" s="20">
        <f>SUM(F6:F17)</f>
        <v>697.0</v>
      </c>
      <c r="G18" s="21">
        <f>SUM(G6:G17)</f>
        <v>6926.2</v>
      </c>
      <c r="I18" s="21">
        <f>SUM(I6:I17)</f>
        <v>5957.671</v>
      </c>
    </row>
  </sheetData>
  <mergeCells count="2">
    <mergeCell ref="A4:I4"/>
    <mergeCell ref="A3:I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2" customWidth="1" min="5" max="5"/>
    <col width="7" customWidth="1" min="6" max="6"/>
    <col width="8" customWidth="1" min="7" max="7"/>
    <col width="13" customWidth="1" min="8" max="8"/>
    <col width="56" customWidth="1" min="9" max="9"/>
    <col width="36" customWidth="1" min="10" max="10"/>
  </cols>
  <sheetData>
    <row r="1">
      <c r="A1" s="1" t="inlineStr">
        <is>
          <t>F&amp;K Estimatings</t>
        </is>
      </c>
    </row>
    <row r="2">
      <c r="A2" s="2" t="inlineStr">
        <is>
          <t>Wood Framing Takeoff Sample — Quantity Takeoff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2" t="inlineStr">
        <is>
          <t>Qty column holds live formulas that reference the named assumptions on 'Cover &amp; Basis' (and the schedule sheets). Column I shows the same formula in readable form.</t>
        </is>
      </c>
    </row>
    <row r="5" ht="26" customHeight="1">
      <c r="A5" s="7" t="inlineStr">
        <is>
          <t>Item</t>
        </is>
      </c>
      <c r="B5" s="7" t="inlineStr">
        <is>
          <t>CSI</t>
        </is>
      </c>
      <c r="C5" s="7" t="inlineStr">
        <is>
          <t>Group</t>
        </is>
      </c>
      <c r="D5" s="7" t="inlineStr">
        <is>
          <t>Description</t>
        </is>
      </c>
      <c r="E5" s="7" t="inlineStr">
        <is>
          <t>Qty</t>
        </is>
      </c>
      <c r="F5" s="7" t="inlineStr">
        <is>
          <t>Unit</t>
        </is>
      </c>
      <c r="G5" s="7" t="inlineStr">
        <is>
          <t>Waste %</t>
        </is>
      </c>
      <c r="H5" s="7" t="inlineStr">
        <is>
          <t>Qty incl. waste</t>
        </is>
      </c>
      <c r="I5" s="7" t="inlineStr">
        <is>
          <t>Formula / basis</t>
        </is>
      </c>
      <c r="J5" s="7" t="inlineStr">
        <is>
          <t>Notes</t>
        </is>
      </c>
    </row>
    <row r="6">
      <c r="A6" s="8" t="n">
        <v>1</v>
      </c>
      <c r="B6" s="8" t="inlineStr">
        <is>
          <t>06 11 00</t>
        </is>
      </c>
      <c r="C6" s="8" t="inlineStr">
        <is>
          <t>Foundation plates &amp; sills</t>
        </is>
      </c>
      <c r="D6" s="11" t="inlineStr">
        <is>
          <t>2x6 Pressure-treated sill plate (foundation mudsill)</t>
        </is>
      </c>
      <c r="E6" s="23">
        <f>perim_lf</f>
        <v>140.0</v>
      </c>
      <c r="F6" s="8" t="inlineStr">
        <is>
          <t>LF</t>
        </is>
      </c>
      <c r="G6" s="13" t="n">
        <v>0.08</v>
      </c>
      <c r="H6" s="24">
        <f>E6*(1+G6)</f>
        <v>151.20000000000002</v>
      </c>
      <c r="I6" s="25" t="inlineStr">
        <is>
          <t>perim_lf</t>
        </is>
      </c>
      <c r="J6" s="26" t="inlineStr">
        <is>
          <t>#2 SYP .40 MCQ treated for ground contact</t>
        </is>
      </c>
    </row>
    <row r="7">
      <c r="A7" s="8" t="n">
        <v>2</v>
      </c>
      <c r="B7" s="8" t="inlineStr">
        <is>
          <t>06 11 00</t>
        </is>
      </c>
      <c r="C7" s="8" t="inlineStr">
        <is>
          <t>Foundation plates &amp; sills</t>
        </is>
      </c>
      <c r="D7" s="11" t="inlineStr">
        <is>
          <t>Sill sealer gasket (5-1/2" closed-cell polyethylene)</t>
        </is>
      </c>
      <c r="E7" s="23">
        <f>perim_lf</f>
        <v>140.0</v>
      </c>
      <c r="F7" s="8" t="inlineStr">
        <is>
          <t>LF</t>
        </is>
      </c>
      <c r="G7" s="13" t="n">
        <v>0.05</v>
      </c>
      <c r="H7" s="24">
        <f>E7*(1+G7)</f>
        <v>147.0</v>
      </c>
      <c r="I7" s="25" t="inlineStr">
        <is>
          <t>perim_lf</t>
        </is>
      </c>
      <c r="J7" s="26" t="inlineStr">
        <is>
          <t>Continuous capillary break under mudsill</t>
        </is>
      </c>
    </row>
    <row r="8">
      <c r="A8" s="8" t="n">
        <v>3</v>
      </c>
      <c r="B8" s="8" t="inlineStr">
        <is>
          <t>06 05 23</t>
        </is>
      </c>
      <c r="C8" s="8" t="inlineStr">
        <is>
          <t>Foundation plates &amp; sills</t>
        </is>
      </c>
      <c r="D8" s="11" t="inlineStr">
        <is>
          <t>1/2" x 10" Foundation anchor bolts w/ 3" sq washer &amp; nut</t>
        </is>
      </c>
      <c r="E8" s="23">
        <f>anchors_n</f>
        <v>43.0</v>
      </c>
      <c r="F8" s="8" t="inlineStr">
        <is>
          <t>EA</t>
        </is>
      </c>
      <c r="G8" s="13" t="n">
        <v>0</v>
      </c>
      <c r="H8" s="24">
        <f>E8*(1+G8)</f>
        <v>43.0</v>
      </c>
      <c r="I8" s="25" t="inlineStr">
        <is>
          <t>anchors_n</t>
        </is>
      </c>
      <c r="J8" s="26" t="inlineStr">
        <is>
          <t>Spaced 4'-0" o.c. and within 12" of plate ends</t>
        </is>
      </c>
    </row>
    <row r="9">
      <c r="A9" s="8" t="n">
        <v>4</v>
      </c>
      <c r="B9" s="8" t="inlineStr">
        <is>
          <t>06 11 00</t>
        </is>
      </c>
      <c r="C9" s="8" t="inlineStr">
        <is>
          <t>First floor wall framing (9'-0" wall)</t>
        </is>
      </c>
      <c r="D9" s="11" t="inlineStr">
        <is>
          <t>2x6 Exterior wall sole &amp; double top plates</t>
        </is>
      </c>
      <c r="E9" s="23">
        <f>3*perim_lf</f>
        <v>420.0</v>
      </c>
      <c r="F9" s="8" t="inlineStr">
        <is>
          <t>LF</t>
        </is>
      </c>
      <c r="G9" s="13" t="n">
        <v>0.08</v>
      </c>
      <c r="H9" s="24">
        <f>E9*(1+G9)</f>
        <v>453.6</v>
      </c>
      <c r="I9" s="25" t="inlineStr">
        <is>
          <t>3 × perim_lf</t>
        </is>
      </c>
      <c r="J9" s="26" t="inlineStr">
        <is>
          <t>16' lengths for minimum splices</t>
        </is>
      </c>
    </row>
    <row r="10">
      <c r="A10" s="8" t="n">
        <v>5</v>
      </c>
      <c r="B10" s="8" t="inlineStr">
        <is>
          <t>06 11 00</t>
        </is>
      </c>
      <c r="C10" s="8" t="inlineStr">
        <is>
          <t>First floor wall framing (9'-0" wall)</t>
        </is>
      </c>
      <c r="D10" s="11" t="inlineStr">
        <is>
          <t>2x6 Exterior wall studs @ 16" o.c. (precut 104-5/8")</t>
        </is>
      </c>
      <c r="E10" s="23">
        <f>ROUNDUP(perim_lf*0.75+35,0)</f>
        <v>140.0</v>
      </c>
      <c r="F10" s="8" t="inlineStr">
        <is>
          <t>EA</t>
        </is>
      </c>
      <c r="G10" s="13" t="n">
        <v>0.05</v>
      </c>
      <c r="H10" s="24">
        <f>E10*(1+G10)</f>
        <v>147.0</v>
      </c>
      <c r="I10" s="25" t="inlineStr">
        <is>
          <t>ROUNDUP(perim_lf × 0.75+35,0)</t>
        </is>
      </c>
      <c r="J10" s="26" t="inlineStr">
        <is>
          <t>Includes corners (3-stud) and partition tees</t>
        </is>
      </c>
    </row>
    <row r="11">
      <c r="A11" s="8" t="n">
        <v>6</v>
      </c>
      <c r="B11" s="8" t="inlineStr">
        <is>
          <t>06 11 00</t>
        </is>
      </c>
      <c r="C11" s="8" t="inlineStr">
        <is>
          <t>First floor wall framing (9'-0" wall)</t>
        </is>
      </c>
      <c r="D11" s="11" t="inlineStr">
        <is>
          <t>2x4 Interior partition plates (sole + double top)</t>
        </is>
      </c>
      <c r="E11" s="23">
        <f>3*int_fl1_lf</f>
        <v>360.0</v>
      </c>
      <c r="F11" s="8" t="inlineStr">
        <is>
          <t>LF</t>
        </is>
      </c>
      <c r="G11" s="13" t="n">
        <v>0.08</v>
      </c>
      <c r="H11" s="24">
        <f>E11*(1+G11)</f>
        <v>388.8</v>
      </c>
      <c r="I11" s="25" t="inlineStr">
        <is>
          <t>3 × int_fl1_lf</t>
        </is>
      </c>
      <c r="J11" s="26" t="inlineStr"/>
    </row>
    <row r="12">
      <c r="A12" s="8" t="n">
        <v>7</v>
      </c>
      <c r="B12" s="8" t="inlineStr">
        <is>
          <t>06 11 00</t>
        </is>
      </c>
      <c r="C12" s="8" t="inlineStr">
        <is>
          <t>First floor wall framing (9'-0" wall)</t>
        </is>
      </c>
      <c r="D12" s="11" t="inlineStr">
        <is>
          <t>2x4 Interior partition studs @ 16" o.c. (precut 104-5/8")</t>
        </is>
      </c>
      <c r="E12" s="23">
        <f>ROUNDUP(int_fl1_lf*0.75+25,0)</f>
        <v>115.0</v>
      </c>
      <c r="F12" s="8" t="inlineStr">
        <is>
          <t>EA</t>
        </is>
      </c>
      <c r="G12" s="13" t="n">
        <v>0.05</v>
      </c>
      <c r="H12" s="24">
        <f>E12*(1+G12)</f>
        <v>120.75</v>
      </c>
      <c r="I12" s="25" t="inlineStr">
        <is>
          <t>ROUNDUP(int_fl1_lf × 0.75+25,0)</t>
        </is>
      </c>
      <c r="J12" s="26" t="inlineStr"/>
    </row>
    <row r="13">
      <c r="A13" s="8" t="n">
        <v>8</v>
      </c>
      <c r="B13" s="8" t="inlineStr">
        <is>
          <t>06 11 00</t>
        </is>
      </c>
      <c r="C13" s="8" t="inlineStr">
        <is>
          <t>First floor wall framing (9'-0" wall)</t>
        </is>
      </c>
      <c r="D13" s="11" t="inlineStr">
        <is>
          <t>Built-up 2x10 headers with 1/2" spacer (doors &amp; windows)</t>
        </is>
      </c>
      <c r="E13" s="23">
        <f>96</f>
        <v>96.0</v>
      </c>
      <c r="F13" s="8" t="inlineStr">
        <is>
          <t>LF</t>
        </is>
      </c>
      <c r="G13" s="13" t="n">
        <v>0.08</v>
      </c>
      <c r="H13" s="24">
        <f>E13*(1+G13)</f>
        <v>103.68</v>
      </c>
      <c r="I13" s="25" t="inlineStr">
        <is>
          <t>96</t>
        </is>
      </c>
      <c r="J13" s="26" t="inlineStr">
        <is>
          <t>Double 2x10 + 1/2" OSB core</t>
        </is>
      </c>
    </row>
    <row r="14">
      <c r="A14" s="8" t="n">
        <v>9</v>
      </c>
      <c r="B14" s="8" t="inlineStr">
        <is>
          <t>06 17 33</t>
        </is>
      </c>
      <c r="C14" s="8" t="inlineStr">
        <is>
          <t>Second floor floor system</t>
        </is>
      </c>
      <c r="D14" s="11" t="inlineStr">
        <is>
          <t>11-7/8" Wood I-joists @ 16" o.c. (TJI 210 or equiv., 16' stock)</t>
        </is>
      </c>
      <c r="E14" s="23">
        <f>2*joist_runs*16</f>
        <v>992.0</v>
      </c>
      <c r="F14" s="8" t="inlineStr">
        <is>
          <t>LF</t>
        </is>
      </c>
      <c r="G14" s="13" t="n">
        <v>0.05</v>
      </c>
      <c r="H14" s="24">
        <f>E14*(1+G14)</f>
        <v>1041.6000000000001</v>
      </c>
      <c r="I14" s="25" t="inlineStr">
        <is>
          <t>2 × joist_runs × 16</t>
        </is>
      </c>
      <c r="J14" s="26" t="inlineStr">
        <is>
          <t>62 pcs 16' joists spanning to central beam</t>
        </is>
      </c>
    </row>
    <row r="15">
      <c r="A15" s="8" t="n">
        <v>10</v>
      </c>
      <c r="B15" s="8" t="inlineStr">
        <is>
          <t>06 17 33</t>
        </is>
      </c>
      <c r="C15" s="8" t="inlineStr">
        <is>
          <t>Second floor floor system</t>
        </is>
      </c>
      <c r="D15" s="11" t="inlineStr">
        <is>
          <t>1-1/8" x 11-7/8" Rim board / rim joist (LSL)</t>
        </is>
      </c>
      <c r="E15" s="23">
        <f>perim_lf</f>
        <v>140.0</v>
      </c>
      <c r="F15" s="8" t="inlineStr">
        <is>
          <t>LF</t>
        </is>
      </c>
      <c r="G15" s="13" t="n">
        <v>0.05</v>
      </c>
      <c r="H15" s="24">
        <f>E15*(1+G15)</f>
        <v>147.0</v>
      </c>
      <c r="I15" s="25" t="inlineStr">
        <is>
          <t>perim_lf</t>
        </is>
      </c>
      <c r="J15" s="26" t="inlineStr">
        <is>
          <t>Continuous engineered perimeter rim band</t>
        </is>
      </c>
    </row>
    <row r="16">
      <c r="A16" s="8" t="n">
        <v>11</v>
      </c>
      <c r="B16" s="8" t="inlineStr">
        <is>
          <t>06 17 19</t>
        </is>
      </c>
      <c r="C16" s="8" t="inlineStr">
        <is>
          <t>Second floor floor system</t>
        </is>
      </c>
      <c r="D16" s="11" t="inlineStr">
        <is>
          <t>3-ply 1-3/4" x 11-7/8" LVL center girder beam</t>
        </is>
      </c>
      <c r="E16" s="23">
        <f>3*house_l</f>
        <v>120.0</v>
      </c>
      <c r="F16" s="8" t="inlineStr">
        <is>
          <t>LF</t>
        </is>
      </c>
      <c r="G16" s="13" t="n">
        <v>0.05</v>
      </c>
      <c r="H16" s="24">
        <f>E16*(1+G16)</f>
        <v>126.0</v>
      </c>
      <c r="I16" s="25" t="inlineStr">
        <is>
          <t>3 × house_l</t>
        </is>
      </c>
      <c r="J16" s="26" t="inlineStr">
        <is>
          <t>2.0E LVL glued &amp; nailed girder carrying joists</t>
        </is>
      </c>
    </row>
    <row r="17">
      <c r="A17" s="8" t="n">
        <v>12</v>
      </c>
      <c r="B17" s="8" t="inlineStr">
        <is>
          <t>06 16 23</t>
        </is>
      </c>
      <c r="C17" s="8" t="inlineStr">
        <is>
          <t>Second floor floor system</t>
        </is>
      </c>
      <c r="D17" s="11" t="inlineStr">
        <is>
          <t>3/4" Tongue &amp; Groove (T&amp;G) OSB Sturd-I-Floor subflooring</t>
        </is>
      </c>
      <c r="E17" s="23">
        <f>subfloor_sf</f>
        <v>1200.0</v>
      </c>
      <c r="F17" s="8" t="inlineStr">
        <is>
          <t>SF</t>
        </is>
      </c>
      <c r="G17" s="13" t="n">
        <v>0.08</v>
      </c>
      <c r="H17" s="24">
        <f>E17*(1+G17)</f>
        <v>1296.0</v>
      </c>
      <c r="I17" s="25" t="inlineStr">
        <is>
          <t>subfloor_sf</t>
        </is>
      </c>
      <c r="J17" s="26" t="inlineStr">
        <is>
          <t>4'x8' APA rated subfloor, glued and screw-shank nailed</t>
        </is>
      </c>
    </row>
    <row r="18">
      <c r="A18" s="8" t="n">
        <v>13</v>
      </c>
      <c r="B18" s="8" t="inlineStr">
        <is>
          <t>06 05 23</t>
        </is>
      </c>
      <c r="C18" s="8" t="inlineStr">
        <is>
          <t>Second floor floor system</t>
        </is>
      </c>
      <c r="D18" s="11" t="inlineStr">
        <is>
          <t>Subfloor construction adhesive (28 oz polyurethane tubes)</t>
        </is>
      </c>
      <c r="E18" s="23">
        <f>ROUNDUP(subfloor_sf/160,0)</f>
        <v>8.0</v>
      </c>
      <c r="F18" s="8" t="inlineStr">
        <is>
          <t>EA</t>
        </is>
      </c>
      <c r="G18" s="13" t="n">
        <v>0</v>
      </c>
      <c r="H18" s="24">
        <f>E18*(1+G18)</f>
        <v>8.0</v>
      </c>
      <c r="I18" s="25" t="inlineStr">
        <is>
          <t>ROUNDUP(subfloor_sf/160,0)</t>
        </is>
      </c>
      <c r="J18" s="26" t="inlineStr">
        <is>
          <t>Continuous bead on all joist flanges</t>
        </is>
      </c>
    </row>
    <row r="19">
      <c r="A19" s="8" t="n">
        <v>14</v>
      </c>
      <c r="B19" s="8" t="inlineStr">
        <is>
          <t>06 11 00</t>
        </is>
      </c>
      <c r="C19" s="8" t="inlineStr">
        <is>
          <t>Second floor wall framing (8'-0" wall)</t>
        </is>
      </c>
      <c r="D19" s="11" t="inlineStr">
        <is>
          <t>2x6 Exterior wall plates (sole + double top)</t>
        </is>
      </c>
      <c r="E19" s="23">
        <f>3*perim_lf</f>
        <v>420.0</v>
      </c>
      <c r="F19" s="8" t="inlineStr">
        <is>
          <t>LF</t>
        </is>
      </c>
      <c r="G19" s="13" t="n">
        <v>0.08</v>
      </c>
      <c r="H19" s="24">
        <f>E19*(1+G19)</f>
        <v>453.6</v>
      </c>
      <c r="I19" s="25" t="inlineStr">
        <is>
          <t>3 × perim_lf</t>
        </is>
      </c>
      <c r="J19" s="26" t="inlineStr"/>
    </row>
    <row r="20">
      <c r="A20" s="8" t="n">
        <v>15</v>
      </c>
      <c r="B20" s="8" t="inlineStr">
        <is>
          <t>06 11 00</t>
        </is>
      </c>
      <c r="C20" s="8" t="inlineStr">
        <is>
          <t>Second floor wall framing (8'-0" wall)</t>
        </is>
      </c>
      <c r="D20" s="11" t="inlineStr">
        <is>
          <t>2x6 Exterior wall studs @ 16" o.c. (precut 92-5/8")</t>
        </is>
      </c>
      <c r="E20" s="23">
        <f>ROUNDUP(perim_lf*0.75+30,0)</f>
        <v>135.0</v>
      </c>
      <c r="F20" s="8" t="inlineStr">
        <is>
          <t>EA</t>
        </is>
      </c>
      <c r="G20" s="13" t="n">
        <v>0.05</v>
      </c>
      <c r="H20" s="24">
        <f>E20*(1+G20)</f>
        <v>141.75</v>
      </c>
      <c r="I20" s="25" t="inlineStr">
        <is>
          <t>ROUNDUP(perim_lf × 0.75+30,0)</t>
        </is>
      </c>
      <c r="J20" s="26" t="inlineStr"/>
    </row>
    <row r="21">
      <c r="A21" s="8" t="n">
        <v>16</v>
      </c>
      <c r="B21" s="8" t="inlineStr">
        <is>
          <t>06 11 00</t>
        </is>
      </c>
      <c r="C21" s="8" t="inlineStr">
        <is>
          <t>Second floor wall framing (8'-0" wall)</t>
        </is>
      </c>
      <c r="D21" s="11" t="inlineStr">
        <is>
          <t>2x4 Interior partition plates (sole + double top)</t>
        </is>
      </c>
      <c r="E21" s="23">
        <f>3*int_fl2_lf</f>
        <v>420.0</v>
      </c>
      <c r="F21" s="8" t="inlineStr">
        <is>
          <t>LF</t>
        </is>
      </c>
      <c r="G21" s="13" t="n">
        <v>0.08</v>
      </c>
      <c r="H21" s="24">
        <f>E21*(1+G21)</f>
        <v>453.6</v>
      </c>
      <c r="I21" s="25" t="inlineStr">
        <is>
          <t>3 × int_fl2_lf</t>
        </is>
      </c>
      <c r="J21" s="26" t="inlineStr"/>
    </row>
    <row r="22">
      <c r="A22" s="8" t="n">
        <v>17</v>
      </c>
      <c r="B22" s="8" t="inlineStr">
        <is>
          <t>06 11 00</t>
        </is>
      </c>
      <c r="C22" s="8" t="inlineStr">
        <is>
          <t>Second floor wall framing (8'-0" wall)</t>
        </is>
      </c>
      <c r="D22" s="11" t="inlineStr">
        <is>
          <t>2x4 Interior partition studs @ 16" o.c. (precut 92-5/8")</t>
        </is>
      </c>
      <c r="E22" s="23">
        <f>ROUNDUP(int_fl2_lf*0.75+30,0)</f>
        <v>135.0</v>
      </c>
      <c r="F22" s="8" t="inlineStr">
        <is>
          <t>EA</t>
        </is>
      </c>
      <c r="G22" s="13" t="n">
        <v>0.05</v>
      </c>
      <c r="H22" s="24">
        <f>E22*(1+G22)</f>
        <v>141.75</v>
      </c>
      <c r="I22" s="25" t="inlineStr">
        <is>
          <t>ROUNDUP(int_fl2_lf × 0.75+30,0)</t>
        </is>
      </c>
      <c r="J22" s="26" t="inlineStr"/>
    </row>
    <row r="23">
      <c r="A23" s="8" t="n">
        <v>18</v>
      </c>
      <c r="B23" s="8" t="inlineStr">
        <is>
          <t>06 11 00</t>
        </is>
      </c>
      <c r="C23" s="8" t="inlineStr">
        <is>
          <t>Second floor wall framing (8'-0" wall)</t>
        </is>
      </c>
      <c r="D23" s="11" t="inlineStr">
        <is>
          <t>Built-up 2x10 headers (2nd floor window openings)</t>
        </is>
      </c>
      <c r="E23" s="23">
        <f>64</f>
        <v>64.0</v>
      </c>
      <c r="F23" s="8" t="inlineStr">
        <is>
          <t>LF</t>
        </is>
      </c>
      <c r="G23" s="13" t="n">
        <v>0.08</v>
      </c>
      <c r="H23" s="24">
        <f>E23*(1+G23)</f>
        <v>69.12</v>
      </c>
      <c r="I23" s="25" t="inlineStr">
        <is>
          <t>64</t>
        </is>
      </c>
      <c r="J23" s="26" t="inlineStr"/>
    </row>
    <row r="24">
      <c r="A24" s="8" t="n">
        <v>19</v>
      </c>
      <c r="B24" s="8" t="inlineStr">
        <is>
          <t>06 17 53</t>
        </is>
      </c>
      <c r="C24" s="8" t="inlineStr">
        <is>
          <t>Roof framing &amp; trusses</t>
        </is>
      </c>
      <c r="D24" s="11" t="inlineStr">
        <is>
          <t>Engineered common roof trusses (32' span, 6:12 pitch, 24" o.c.)</t>
        </is>
      </c>
      <c r="E24" s="23">
        <f>truss_count</f>
        <v>20.0</v>
      </c>
      <c r="F24" s="8" t="inlineStr">
        <is>
          <t>EA</t>
        </is>
      </c>
      <c r="G24" s="13" t="n">
        <v>0</v>
      </c>
      <c r="H24" s="24">
        <f>E24*(1+G24)</f>
        <v>20.0</v>
      </c>
      <c r="I24" s="25" t="inlineStr">
        <is>
          <t>truss_count</t>
        </is>
      </c>
      <c r="J24" s="26" t="inlineStr">
        <is>
          <t>Prefabricated metal plate connected wood trusses</t>
        </is>
      </c>
    </row>
    <row r="25">
      <c r="A25" s="8" t="n">
        <v>20</v>
      </c>
      <c r="B25" s="8" t="inlineStr">
        <is>
          <t>06 17 53</t>
        </is>
      </c>
      <c r="C25" s="8" t="inlineStr">
        <is>
          <t>Roof framing &amp; trusses</t>
        </is>
      </c>
      <c r="D25" s="11" t="inlineStr">
        <is>
          <t>Engineered gable end roof trusses</t>
        </is>
      </c>
      <c r="E25" s="23">
        <f>gable_count</f>
        <v>2.0</v>
      </c>
      <c r="F25" s="8" t="inlineStr">
        <is>
          <t>EA</t>
        </is>
      </c>
      <c r="G25" s="13" t="n">
        <v>0</v>
      </c>
      <c r="H25" s="24">
        <f>E25*(1+G25)</f>
        <v>2.0</v>
      </c>
      <c r="I25" s="25" t="inlineStr">
        <is>
          <t>gable_count</t>
        </is>
      </c>
      <c r="J25" s="26" t="inlineStr">
        <is>
          <t>Vertical stud infill ready for sheathing</t>
        </is>
      </c>
    </row>
    <row r="26">
      <c r="A26" s="8" t="n">
        <v>21</v>
      </c>
      <c r="B26" s="8" t="inlineStr">
        <is>
          <t>01 54 23</t>
        </is>
      </c>
      <c r="C26" s="8" t="inlineStr">
        <is>
          <t>Roof framing &amp; trusses</t>
        </is>
      </c>
      <c r="D26" s="11" t="inlineStr">
        <is>
          <t>Mobile crane service for roof truss erection (4 hour minimum)</t>
        </is>
      </c>
      <c r="E26" s="23">
        <f>4</f>
        <v>4.0</v>
      </c>
      <c r="F26" s="8" t="inlineStr">
        <is>
          <t>HR</t>
        </is>
      </c>
      <c r="G26" s="13" t="n">
        <v>0</v>
      </c>
      <c r="H26" s="24">
        <f>E26*(1+G26)</f>
        <v>4.0</v>
      </c>
      <c r="I26" s="25" t="inlineStr">
        <is>
          <t>4 (counted / stated)</t>
        </is>
      </c>
      <c r="J26" s="26" t="inlineStr">
        <is>
          <t>Includes crane, rigging and certified crane operator</t>
        </is>
      </c>
    </row>
    <row r="27">
      <c r="A27" s="8" t="n">
        <v>22</v>
      </c>
      <c r="B27" s="8" t="inlineStr">
        <is>
          <t>06 11 00</t>
        </is>
      </c>
      <c r="C27" s="8" t="inlineStr">
        <is>
          <t>Roof framing &amp; trusses</t>
        </is>
      </c>
      <c r="D27" s="11" t="inlineStr">
        <is>
          <t>2x6 Subfascia board at eaves and gables</t>
        </is>
      </c>
      <c r="E27" s="23">
        <f>2*roof_len+4*(house_w/2*pitch_mult+roof_overhang)</f>
        <v>155.08</v>
      </c>
      <c r="F27" s="8" t="inlineStr">
        <is>
          <t>LF</t>
        </is>
      </c>
      <c r="G27" s="13" t="n">
        <v>0.08</v>
      </c>
      <c r="H27" s="24">
        <f>E27*(1+G27)</f>
        <v>167.48640000000003</v>
      </c>
      <c r="I27" s="25" t="inlineStr">
        <is>
          <t>2 × roof_len+4 × (house_w/2 × pitch_mult+roof_overhang)</t>
        </is>
      </c>
      <c r="J27" s="26" t="inlineStr"/>
    </row>
    <row r="28">
      <c r="A28" s="8" t="n">
        <v>23</v>
      </c>
      <c r="B28" s="8" t="inlineStr">
        <is>
          <t>06 11 00</t>
        </is>
      </c>
      <c r="C28" s="8" t="inlineStr">
        <is>
          <t>Roof framing &amp; trusses</t>
        </is>
      </c>
      <c r="D28" s="11" t="inlineStr">
        <is>
          <t>2x4 Truss lateral bracing and web bracing per truss engineering</t>
        </is>
      </c>
      <c r="E28" s="23">
        <f>400</f>
        <v>400.0</v>
      </c>
      <c r="F28" s="8" t="inlineStr">
        <is>
          <t>LF</t>
        </is>
      </c>
      <c r="G28" s="13" t="n">
        <v>0.05</v>
      </c>
      <c r="H28" s="24">
        <f>E28*(1+G28)</f>
        <v>420.0</v>
      </c>
      <c r="I28" s="25" t="inlineStr">
        <is>
          <t>400</t>
        </is>
      </c>
      <c r="J28" s="26" t="inlineStr">
        <is>
          <t>Continuous lateral restraint (CLR) rows</t>
        </is>
      </c>
    </row>
    <row r="29">
      <c r="A29" s="8" t="n">
        <v>24</v>
      </c>
      <c r="B29" s="8" t="inlineStr">
        <is>
          <t>06 16 13</t>
        </is>
      </c>
      <c r="C29" s="8" t="inlineStr">
        <is>
          <t>Sheathing &amp; weather barrier</t>
        </is>
      </c>
      <c r="D29" s="11" t="inlineStr">
        <is>
          <t>7/16" OSB exterior wall sheathing (APA Rated Sheathing)</t>
        </is>
      </c>
      <c r="E29" s="23">
        <f>ext_wall_sf</f>
        <v>2520.0</v>
      </c>
      <c r="F29" s="8" t="inlineStr">
        <is>
          <t>SF</t>
        </is>
      </c>
      <c r="G29" s="13" t="n">
        <v>0.08</v>
      </c>
      <c r="H29" s="24">
        <f>E29*(1+G29)</f>
        <v>2721.6000000000004</v>
      </c>
      <c r="I29" s="25" t="inlineStr">
        <is>
          <t>ext_wall_sf</t>
        </is>
      </c>
      <c r="J29" s="26" t="inlineStr">
        <is>
          <t>4'x9' sheets nailed 6" o.c. edge / 12" field</t>
        </is>
      </c>
    </row>
    <row r="30">
      <c r="A30" s="8" t="n">
        <v>25</v>
      </c>
      <c r="B30" s="8" t="inlineStr">
        <is>
          <t>07 25 00</t>
        </is>
      </c>
      <c r="C30" s="8" t="inlineStr">
        <is>
          <t>Sheathing &amp; weather barrier</t>
        </is>
      </c>
      <c r="D30" s="11" t="inlineStr">
        <is>
          <t>Spunbonded polyolefin housewrap weather barrier (Tyvek)</t>
        </is>
      </c>
      <c r="E30" s="23">
        <f>ext_wall_sf*1.15</f>
        <v>2898.0</v>
      </c>
      <c r="F30" s="8" t="inlineStr">
        <is>
          <t>SF</t>
        </is>
      </c>
      <c r="G30" s="13" t="n">
        <v>0.05</v>
      </c>
      <c r="H30" s="24">
        <f>E30*(1+G30)</f>
        <v>3042.9</v>
      </c>
      <c r="I30" s="25" t="inlineStr">
        <is>
          <t>ext_wall_sf × 1.15</t>
        </is>
      </c>
      <c r="J30" s="26" t="inlineStr">
        <is>
          <t>Taped seams with 3" contractor acrylic tape</t>
        </is>
      </c>
    </row>
    <row r="31">
      <c r="A31" s="8" t="n">
        <v>26</v>
      </c>
      <c r="B31" s="8" t="inlineStr">
        <is>
          <t>06 16 13</t>
        </is>
      </c>
      <c r="C31" s="8" t="inlineStr">
        <is>
          <t>Sheathing &amp; weather barrier</t>
        </is>
      </c>
      <c r="D31" s="11" t="inlineStr">
        <is>
          <t>7/16" OSB roof sheathing (APA Rated)</t>
        </is>
      </c>
      <c r="E31" s="23">
        <f>roof_sf</f>
        <v>1502.592</v>
      </c>
      <c r="F31" s="8" t="inlineStr">
        <is>
          <t>SF</t>
        </is>
      </c>
      <c r="G31" s="13" t="n">
        <v>0.08</v>
      </c>
      <c r="H31" s="24">
        <f>E31*(1+G31)</f>
        <v>1622.7993600000002</v>
      </c>
      <c r="I31" s="25" t="inlineStr">
        <is>
          <t>roof_sf</t>
        </is>
      </c>
      <c r="J31" s="26" t="inlineStr">
        <is>
          <t>Staggered joints with 1/8" expansion gap</t>
        </is>
      </c>
    </row>
    <row r="32">
      <c r="A32" s="8" t="n">
        <v>27</v>
      </c>
      <c r="B32" s="8" t="inlineStr">
        <is>
          <t>06 05 23</t>
        </is>
      </c>
      <c r="C32" s="8" t="inlineStr">
        <is>
          <t>Sheathing &amp; weather barrier</t>
        </is>
      </c>
      <c r="D32" s="11" t="inlineStr">
        <is>
          <t>7/16" Sheathing H-clips (panel edge clips)</t>
        </is>
      </c>
      <c r="E32" s="23">
        <f>ROUNDUP(roof_sf/12,0)</f>
        <v>126.0</v>
      </c>
      <c r="F32" s="8" t="inlineStr">
        <is>
          <t>EA</t>
        </is>
      </c>
      <c r="G32" s="13" t="n">
        <v>0</v>
      </c>
      <c r="H32" s="24">
        <f>E32*(1+G32)</f>
        <v>126.0</v>
      </c>
      <c r="I32" s="25" t="inlineStr">
        <is>
          <t>ROUNDUP(roof_sf/12,0)</t>
        </is>
      </c>
      <c r="J32" s="26" t="inlineStr">
        <is>
          <t>1 clip between every truss space</t>
        </is>
      </c>
    </row>
    <row r="33">
      <c r="A33" s="8" t="n">
        <v>28</v>
      </c>
      <c r="B33" s="8" t="inlineStr">
        <is>
          <t>06 05 23</t>
        </is>
      </c>
      <c r="C33" s="8" t="inlineStr">
        <is>
          <t>Structural connectors &amp; fasteners</t>
        </is>
      </c>
      <c r="D33" s="11" t="inlineStr">
        <is>
          <t>Simpson H2.5A hurricane ties (truss-to-plate connector)</t>
        </is>
      </c>
      <c r="E33" s="23">
        <f>hurr_ties_n</f>
        <v>44.0</v>
      </c>
      <c r="F33" s="8" t="inlineStr">
        <is>
          <t>EA</t>
        </is>
      </c>
      <c r="G33" s="13" t="n">
        <v>0</v>
      </c>
      <c r="H33" s="24">
        <f>E33*(1+G33)</f>
        <v>44.0</v>
      </c>
      <c r="I33" s="25" t="inlineStr">
        <is>
          <t>hurr_ties_n</t>
        </is>
      </c>
      <c r="J33" s="26" t="inlineStr">
        <is>
          <t>Seismic/high-wind uplift restraint</t>
        </is>
      </c>
    </row>
    <row r="34">
      <c r="A34" s="8" t="n">
        <v>29</v>
      </c>
      <c r="B34" s="8" t="inlineStr">
        <is>
          <t>06 05 23</t>
        </is>
      </c>
      <c r="C34" s="8" t="inlineStr">
        <is>
          <t>Structural connectors &amp; fasteners</t>
        </is>
      </c>
      <c r="D34" s="11" t="inlineStr">
        <is>
          <t>Simpson ITS / IUS top-mount I-joist hangers</t>
        </is>
      </c>
      <c r="E34" s="23">
        <f>joist_hgr_n</f>
        <v>62.0</v>
      </c>
      <c r="F34" s="8" t="inlineStr">
        <is>
          <t>EA</t>
        </is>
      </c>
      <c r="G34" s="13" t="n">
        <v>0</v>
      </c>
      <c r="H34" s="24">
        <f>E34*(1+G34)</f>
        <v>62.0</v>
      </c>
      <c r="I34" s="25" t="inlineStr">
        <is>
          <t>joist_hgr_n</t>
        </is>
      </c>
      <c r="J34" s="26" t="inlineStr">
        <is>
          <t>Heavy duty joist connection to LVL girder</t>
        </is>
      </c>
    </row>
    <row r="35">
      <c r="A35" s="8" t="n">
        <v>30</v>
      </c>
      <c r="B35" s="8" t="inlineStr">
        <is>
          <t>06 05 23</t>
        </is>
      </c>
      <c r="C35" s="8" t="inlineStr">
        <is>
          <t>Structural connectors &amp; fasteners</t>
        </is>
      </c>
      <c r="D35" s="11" t="inlineStr">
        <is>
          <t>Simpson HD2A hold-down anchors &amp; 5/8" threaded rods</t>
        </is>
      </c>
      <c r="E35" s="23">
        <f>holddown_n</f>
        <v>8.0</v>
      </c>
      <c r="F35" s="8" t="inlineStr">
        <is>
          <t>EA</t>
        </is>
      </c>
      <c r="G35" s="13" t="n">
        <v>0</v>
      </c>
      <c r="H35" s="24">
        <f>E35*(1+G35)</f>
        <v>8.0</v>
      </c>
      <c r="I35" s="25" t="inlineStr">
        <is>
          <t>holddown_n</t>
        </is>
      </c>
      <c r="J35" s="26" t="inlineStr">
        <is>
          <t>Corner shear wall tie to concrete foundation</t>
        </is>
      </c>
    </row>
    <row r="36">
      <c r="A36" s="8" t="n">
        <v>31</v>
      </c>
      <c r="B36" s="8" t="inlineStr">
        <is>
          <t>06 05 23</t>
        </is>
      </c>
      <c r="C36" s="8" t="inlineStr">
        <is>
          <t>Structural connectors &amp; fasteners</t>
        </is>
      </c>
      <c r="D36" s="11" t="inlineStr">
        <is>
          <t>Collated framing nails package (16d, 10d, 8d ring shank)</t>
        </is>
      </c>
      <c r="E36" s="23">
        <f>1</f>
        <v>1.0</v>
      </c>
      <c r="F36" s="8" t="inlineStr">
        <is>
          <t>LS</t>
        </is>
      </c>
      <c r="G36" s="13" t="n">
        <v>0</v>
      </c>
      <c r="H36" s="24">
        <f>E36*(1+G36)</f>
        <v>1.0</v>
      </c>
      <c r="I36" s="25" t="inlineStr">
        <is>
          <t>1</t>
        </is>
      </c>
      <c r="J36" s="26" t="inlineStr">
        <is>
          <t>Complete pneumatic framing fasteners package</t>
        </is>
      </c>
    </row>
  </sheetData>
  <autoFilter ref="A5:J36"/>
  <mergeCells count="1"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12" customWidth="1" min="4" max="4"/>
    <col width="7" customWidth="1" min="5" max="5"/>
    <col width="11" customWidth="1" min="6" max="6"/>
    <col width="13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2" customWidth="1" min="13" max="13"/>
    <col width="14" customWidth="1" min="14" max="14"/>
  </cols>
  <sheetData>
    <row r="1">
      <c r="A1" s="1" t="inlineStr">
        <is>
          <t>F&amp;K Estimatings</t>
        </is>
      </c>
    </row>
    <row r="2">
      <c r="A2" s="2" t="inlineStr">
        <is>
          <t>Wood Framing Takeoff Sample — Pricing (illustrative unit costs)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2" t="inlineStr">
        <is>
          <t>Unit costs and labor rates are illustrative, September 2026 national average; not a quote. Labor hr/unit = stated productivity. Rates are named assumptions.</t>
        </is>
      </c>
    </row>
    <row r="5" ht="26" customHeight="1">
      <c r="A5" s="7" t="inlineStr">
        <is>
          <t>Item</t>
        </is>
      </c>
      <c r="B5" s="7" t="inlineStr">
        <is>
          <t>Group</t>
        </is>
      </c>
      <c r="C5" s="7" t="inlineStr">
        <is>
          <t>Description</t>
        </is>
      </c>
      <c r="D5" s="7" t="inlineStr">
        <is>
          <t>Qty incl. waste</t>
        </is>
      </c>
      <c r="E5" s="7" t="inlineStr">
        <is>
          <t>Unit</t>
        </is>
      </c>
      <c r="F5" s="7" t="inlineStr">
        <is>
          <t>Material $/unit</t>
        </is>
      </c>
      <c r="G5" s="7" t="inlineStr">
        <is>
          <t>Material $</t>
        </is>
      </c>
      <c r="H5" s="7" t="inlineStr">
        <is>
          <t>Labor hr/unit</t>
        </is>
      </c>
      <c r="I5" s="7" t="inlineStr">
        <is>
          <t>Labor hrs</t>
        </is>
      </c>
      <c r="J5" s="7" t="inlineStr">
        <is>
          <t>Labor rate $/hr</t>
        </is>
      </c>
      <c r="K5" s="7" t="inlineStr">
        <is>
          <t>Labor $</t>
        </is>
      </c>
      <c r="L5" s="7" t="inlineStr">
        <is>
          <t>Equip $/unit</t>
        </is>
      </c>
      <c r="M5" s="7" t="inlineStr">
        <is>
          <t>Equip $</t>
        </is>
      </c>
      <c r="N5" s="7" t="inlineStr">
        <is>
          <t>Total $</t>
        </is>
      </c>
    </row>
    <row r="6">
      <c r="A6" s="8" t="n">
        <v>1</v>
      </c>
      <c r="B6" s="8" t="inlineStr">
        <is>
          <t>Foundation plates &amp; sills</t>
        </is>
      </c>
      <c r="C6" s="11" t="inlineStr">
        <is>
          <t>2x6 Pressure-treated sill plate (foundation mudsill)</t>
        </is>
      </c>
      <c r="D6" s="27">
        <f>'Quantity Takeoff'!H6</f>
        <v>151.20000000000002</v>
      </c>
      <c r="E6" s="8" t="inlineStr">
        <is>
          <t>LF</t>
        </is>
      </c>
      <c r="F6" s="28" t="n">
        <v>1.45</v>
      </c>
      <c r="G6" s="29">
        <f>D6*F6</f>
        <v>219.24</v>
      </c>
      <c r="H6" s="30" t="n">
        <v>0.035</v>
      </c>
      <c r="I6" s="31">
        <f>D6*H6</f>
        <v>5.292000000000001</v>
      </c>
      <c r="J6" s="32">
        <f>rate_framing</f>
        <v>72.0</v>
      </c>
      <c r="K6" s="29">
        <f>I6*J6</f>
        <v>381.02400000000006</v>
      </c>
      <c r="L6" s="28" t="n">
        <v>0</v>
      </c>
      <c r="M6" s="29">
        <f>D6*L6</f>
        <v>0.0</v>
      </c>
      <c r="N6" s="33">
        <f>G6+K6+M6</f>
        <v>600.2640000000001</v>
      </c>
    </row>
    <row r="7">
      <c r="A7" s="8" t="n">
        <v>2</v>
      </c>
      <c r="B7" s="8" t="inlineStr">
        <is>
          <t>Foundation plates &amp; sills</t>
        </is>
      </c>
      <c r="C7" s="11" t="inlineStr">
        <is>
          <t>Sill sealer gasket (5-1/2" closed-cell polyethylene)</t>
        </is>
      </c>
      <c r="D7" s="27">
        <f>'Quantity Takeoff'!H7</f>
        <v>147.0</v>
      </c>
      <c r="E7" s="8" t="inlineStr">
        <is>
          <t>LF</t>
        </is>
      </c>
      <c r="F7" s="28" t="n">
        <v>0.28</v>
      </c>
      <c r="G7" s="29">
        <f>D7*F7</f>
        <v>41.160000000000004</v>
      </c>
      <c r="H7" s="30" t="n">
        <v>0.01</v>
      </c>
      <c r="I7" s="31">
        <f>D7*H7</f>
        <v>1.47</v>
      </c>
      <c r="J7" s="32">
        <f>rate_framing</f>
        <v>72.0</v>
      </c>
      <c r="K7" s="29">
        <f>I7*J7</f>
        <v>105.84</v>
      </c>
      <c r="L7" s="28" t="n">
        <v>0</v>
      </c>
      <c r="M7" s="29">
        <f>D7*L7</f>
        <v>0.0</v>
      </c>
      <c r="N7" s="33">
        <f>G7+K7+M7</f>
        <v>147.0</v>
      </c>
    </row>
    <row r="8">
      <c r="A8" s="8" t="n">
        <v>3</v>
      </c>
      <c r="B8" s="8" t="inlineStr">
        <is>
          <t>Foundation plates &amp; sills</t>
        </is>
      </c>
      <c r="C8" s="11" t="inlineStr">
        <is>
          <t>1/2" x 10" Foundation anchor bolts w/ 3" sq washer &amp; nut</t>
        </is>
      </c>
      <c r="D8" s="27">
        <f>'Quantity Takeoff'!H8</f>
        <v>43.0</v>
      </c>
      <c r="E8" s="8" t="inlineStr">
        <is>
          <t>EA</t>
        </is>
      </c>
      <c r="F8" s="28" t="n">
        <v>3.85</v>
      </c>
      <c r="G8" s="29">
        <f>D8*F8</f>
        <v>165.55</v>
      </c>
      <c r="H8" s="30" t="n">
        <v>0.1</v>
      </c>
      <c r="I8" s="31">
        <f>D8*H8</f>
        <v>4.3</v>
      </c>
      <c r="J8" s="32">
        <f>rate_framing</f>
        <v>72.0</v>
      </c>
      <c r="K8" s="29">
        <f>I8*J8</f>
        <v>309.59999999999997</v>
      </c>
      <c r="L8" s="28" t="n">
        <v>0</v>
      </c>
      <c r="M8" s="29">
        <f>D8*L8</f>
        <v>0.0</v>
      </c>
      <c r="N8" s="33">
        <f>G8+K8+M8</f>
        <v>475.15</v>
      </c>
    </row>
    <row r="9">
      <c r="A9" s="8" t="n">
        <v>4</v>
      </c>
      <c r="B9" s="8" t="inlineStr">
        <is>
          <t>First floor wall framing (9'-0" wall)</t>
        </is>
      </c>
      <c r="C9" s="11" t="inlineStr">
        <is>
          <t>2x6 Exterior wall sole &amp; double top plates</t>
        </is>
      </c>
      <c r="D9" s="27">
        <f>'Quantity Takeoff'!H9</f>
        <v>453.6</v>
      </c>
      <c r="E9" s="8" t="inlineStr">
        <is>
          <t>LF</t>
        </is>
      </c>
      <c r="F9" s="28" t="n">
        <v>1.15</v>
      </c>
      <c r="G9" s="29">
        <f>D9*F9</f>
        <v>521.64</v>
      </c>
      <c r="H9" s="30" t="n">
        <v>0.03</v>
      </c>
      <c r="I9" s="31">
        <f>D9*H9</f>
        <v>13.608</v>
      </c>
      <c r="J9" s="32">
        <f>rate_framing</f>
        <v>72.0</v>
      </c>
      <c r="K9" s="29">
        <f>I9*J9</f>
        <v>979.7760000000001</v>
      </c>
      <c r="L9" s="28" t="n">
        <v>0</v>
      </c>
      <c r="M9" s="29">
        <f>D9*L9</f>
        <v>0.0</v>
      </c>
      <c r="N9" s="33">
        <f>G9+K9+M9</f>
        <v>1501.4160000000002</v>
      </c>
    </row>
    <row r="10">
      <c r="A10" s="8" t="n">
        <v>5</v>
      </c>
      <c r="B10" s="8" t="inlineStr">
        <is>
          <t>First floor wall framing (9'-0" wall)</t>
        </is>
      </c>
      <c r="C10" s="11" t="inlineStr">
        <is>
          <t>2x6 Exterior wall studs @ 16" o.c. (precut 104-5/8")</t>
        </is>
      </c>
      <c r="D10" s="27">
        <f>'Quantity Takeoff'!H10</f>
        <v>147.0</v>
      </c>
      <c r="E10" s="8" t="inlineStr">
        <is>
          <t>EA</t>
        </is>
      </c>
      <c r="F10" s="28" t="n">
        <v>8.4</v>
      </c>
      <c r="G10" s="29">
        <f>D10*F10</f>
        <v>1234.8</v>
      </c>
      <c r="H10" s="30" t="n">
        <v>0.12</v>
      </c>
      <c r="I10" s="31">
        <f>D10*H10</f>
        <v>17.64</v>
      </c>
      <c r="J10" s="32">
        <f>rate_framing</f>
        <v>72.0</v>
      </c>
      <c r="K10" s="29">
        <f>I10*J10</f>
        <v>1270.08</v>
      </c>
      <c r="L10" s="28" t="n">
        <v>0</v>
      </c>
      <c r="M10" s="29">
        <f>D10*L10</f>
        <v>0.0</v>
      </c>
      <c r="N10" s="33">
        <f>G10+K10+M10</f>
        <v>2504.88</v>
      </c>
    </row>
    <row r="11">
      <c r="A11" s="8" t="n">
        <v>6</v>
      </c>
      <c r="B11" s="8" t="inlineStr">
        <is>
          <t>First floor wall framing (9'-0" wall)</t>
        </is>
      </c>
      <c r="C11" s="11" t="inlineStr">
        <is>
          <t>2x4 Interior partition plates (sole + double top)</t>
        </is>
      </c>
      <c r="D11" s="27">
        <f>'Quantity Takeoff'!H11</f>
        <v>388.8</v>
      </c>
      <c r="E11" s="8" t="inlineStr">
        <is>
          <t>LF</t>
        </is>
      </c>
      <c r="F11" s="28" t="n">
        <v>0.75</v>
      </c>
      <c r="G11" s="29">
        <f>D11*F11</f>
        <v>291.6</v>
      </c>
      <c r="H11" s="30" t="n">
        <v>0.025</v>
      </c>
      <c r="I11" s="31">
        <f>D11*H11</f>
        <v>9.72</v>
      </c>
      <c r="J11" s="32">
        <f>rate_framing</f>
        <v>72.0</v>
      </c>
      <c r="K11" s="29">
        <f>I11*J11</f>
        <v>699.84</v>
      </c>
      <c r="L11" s="28" t="n">
        <v>0</v>
      </c>
      <c r="M11" s="29">
        <f>D11*L11</f>
        <v>0.0</v>
      </c>
      <c r="N11" s="33">
        <f>G11+K11+M11</f>
        <v>991.44</v>
      </c>
    </row>
    <row r="12">
      <c r="A12" s="8" t="n">
        <v>7</v>
      </c>
      <c r="B12" s="8" t="inlineStr">
        <is>
          <t>First floor wall framing (9'-0" wall)</t>
        </is>
      </c>
      <c r="C12" s="11" t="inlineStr">
        <is>
          <t>2x4 Interior partition studs @ 16" o.c. (precut 104-5/8")</t>
        </is>
      </c>
      <c r="D12" s="27">
        <f>'Quantity Takeoff'!H12</f>
        <v>120.75</v>
      </c>
      <c r="E12" s="8" t="inlineStr">
        <is>
          <t>EA</t>
        </is>
      </c>
      <c r="F12" s="28" t="n">
        <v>5.8</v>
      </c>
      <c r="G12" s="29">
        <f>D12*F12</f>
        <v>700.35</v>
      </c>
      <c r="H12" s="30" t="n">
        <v>0.1</v>
      </c>
      <c r="I12" s="31">
        <f>D12*H12</f>
        <v>12.075000000000001</v>
      </c>
      <c r="J12" s="32">
        <f>rate_framing</f>
        <v>72.0</v>
      </c>
      <c r="K12" s="29">
        <f>I12*J12</f>
        <v>869.4000000000001</v>
      </c>
      <c r="L12" s="28" t="n">
        <v>0</v>
      </c>
      <c r="M12" s="29">
        <f>D12*L12</f>
        <v>0.0</v>
      </c>
      <c r="N12" s="33">
        <f>G12+K12+M12</f>
        <v>1569.75</v>
      </c>
    </row>
    <row r="13">
      <c r="A13" s="8" t="n">
        <v>8</v>
      </c>
      <c r="B13" s="8" t="inlineStr">
        <is>
          <t>First floor wall framing (9'-0" wall)</t>
        </is>
      </c>
      <c r="C13" s="11" t="inlineStr">
        <is>
          <t>Built-up 2x10 headers with 1/2" spacer (doors &amp; windows)</t>
        </is>
      </c>
      <c r="D13" s="27">
        <f>'Quantity Takeoff'!H13</f>
        <v>103.68</v>
      </c>
      <c r="E13" s="8" t="inlineStr">
        <is>
          <t>LF</t>
        </is>
      </c>
      <c r="F13" s="28" t="n">
        <v>3.6</v>
      </c>
      <c r="G13" s="29">
        <f>D13*F13</f>
        <v>373.24800000000005</v>
      </c>
      <c r="H13" s="30" t="n">
        <v>0.08</v>
      </c>
      <c r="I13" s="31">
        <f>D13*H13</f>
        <v>8.294400000000001</v>
      </c>
      <c r="J13" s="32">
        <f>rate_framing</f>
        <v>72.0</v>
      </c>
      <c r="K13" s="29">
        <f>I13*J13</f>
        <v>597.1968</v>
      </c>
      <c r="L13" s="28" t="n">
        <v>0</v>
      </c>
      <c r="M13" s="29">
        <f>D13*L13</f>
        <v>0.0</v>
      </c>
      <c r="N13" s="33">
        <f>G13+K13+M13</f>
        <v>970.4448000000001</v>
      </c>
    </row>
    <row r="14">
      <c r="A14" s="8" t="n">
        <v>9</v>
      </c>
      <c r="B14" s="8" t="inlineStr">
        <is>
          <t>Second floor floor system</t>
        </is>
      </c>
      <c r="C14" s="11" t="inlineStr">
        <is>
          <t>11-7/8" Wood I-joists @ 16" o.c. (TJI 210 or equiv., 16' stock)</t>
        </is>
      </c>
      <c r="D14" s="27">
        <f>'Quantity Takeoff'!H14</f>
        <v>1041.6000000000001</v>
      </c>
      <c r="E14" s="8" t="inlineStr">
        <is>
          <t>LF</t>
        </is>
      </c>
      <c r="F14" s="28" t="n">
        <v>3.25</v>
      </c>
      <c r="G14" s="29">
        <f>D14*F14</f>
        <v>3385.2000000000003</v>
      </c>
      <c r="H14" s="30" t="n">
        <v>0.045</v>
      </c>
      <c r="I14" s="31">
        <f>D14*H14</f>
        <v>46.87200000000001</v>
      </c>
      <c r="J14" s="32">
        <f>rate_framing</f>
        <v>72.0</v>
      </c>
      <c r="K14" s="29">
        <f>I14*J14</f>
        <v>3374.7840000000006</v>
      </c>
      <c r="L14" s="28" t="n">
        <v>0</v>
      </c>
      <c r="M14" s="29">
        <f>D14*L14</f>
        <v>0.0</v>
      </c>
      <c r="N14" s="33">
        <f>G14+K14+M14</f>
        <v>6759.984</v>
      </c>
    </row>
    <row r="15">
      <c r="A15" s="8" t="n">
        <v>10</v>
      </c>
      <c r="B15" s="8" t="inlineStr">
        <is>
          <t>Second floor floor system</t>
        </is>
      </c>
      <c r="C15" s="11" t="inlineStr">
        <is>
          <t>1-1/8" x 11-7/8" Rim board / rim joist (LSL)</t>
        </is>
      </c>
      <c r="D15" s="27">
        <f>'Quantity Takeoff'!H15</f>
        <v>147.0</v>
      </c>
      <c r="E15" s="8" t="inlineStr">
        <is>
          <t>LF</t>
        </is>
      </c>
      <c r="F15" s="28" t="n">
        <v>4.6</v>
      </c>
      <c r="G15" s="29">
        <f>D15*F15</f>
        <v>676.1999999999999</v>
      </c>
      <c r="H15" s="30" t="n">
        <v>0.04</v>
      </c>
      <c r="I15" s="31">
        <f>D15*H15</f>
        <v>5.88</v>
      </c>
      <c r="J15" s="32">
        <f>rate_framing</f>
        <v>72.0</v>
      </c>
      <c r="K15" s="29">
        <f>I15*J15</f>
        <v>423.36</v>
      </c>
      <c r="L15" s="28" t="n">
        <v>0</v>
      </c>
      <c r="M15" s="29">
        <f>D15*L15</f>
        <v>0.0</v>
      </c>
      <c r="N15" s="33">
        <f>G15+K15+M15</f>
        <v>1099.56</v>
      </c>
    </row>
    <row r="16">
      <c r="A16" s="8" t="n">
        <v>11</v>
      </c>
      <c r="B16" s="8" t="inlineStr">
        <is>
          <t>Second floor floor system</t>
        </is>
      </c>
      <c r="C16" s="11" t="inlineStr">
        <is>
          <t>3-ply 1-3/4" x 11-7/8" LVL center girder beam</t>
        </is>
      </c>
      <c r="D16" s="27">
        <f>'Quantity Takeoff'!H16</f>
        <v>126.0</v>
      </c>
      <c r="E16" s="8" t="inlineStr">
        <is>
          <t>LF</t>
        </is>
      </c>
      <c r="F16" s="28" t="n">
        <v>14.5</v>
      </c>
      <c r="G16" s="29">
        <f>D16*F16</f>
        <v>1827.0</v>
      </c>
      <c r="H16" s="30" t="n">
        <v>0.15</v>
      </c>
      <c r="I16" s="31">
        <f>D16*H16</f>
        <v>18.9</v>
      </c>
      <c r="J16" s="32">
        <f>rate_framing</f>
        <v>72.0</v>
      </c>
      <c r="K16" s="29">
        <f>I16*J16</f>
        <v>1360.8</v>
      </c>
      <c r="L16" s="28" t="n">
        <v>0</v>
      </c>
      <c r="M16" s="29">
        <f>D16*L16</f>
        <v>0.0</v>
      </c>
      <c r="N16" s="33">
        <f>G16+K16+M16</f>
        <v>3187.8</v>
      </c>
    </row>
    <row r="17">
      <c r="A17" s="8" t="n">
        <v>12</v>
      </c>
      <c r="B17" s="8" t="inlineStr">
        <is>
          <t>Second floor floor system</t>
        </is>
      </c>
      <c r="C17" s="11" t="inlineStr">
        <is>
          <t>3/4" Tongue &amp; Groove (T&amp;G) OSB Sturd-I-Floor subflooring</t>
        </is>
      </c>
      <c r="D17" s="27">
        <f>'Quantity Takeoff'!H17</f>
        <v>1296.0</v>
      </c>
      <c r="E17" s="8" t="inlineStr">
        <is>
          <t>SF</t>
        </is>
      </c>
      <c r="F17" s="28" t="n">
        <v>1.45</v>
      </c>
      <c r="G17" s="29">
        <f>D17*F17</f>
        <v>1879.2</v>
      </c>
      <c r="H17" s="30" t="n">
        <v>0.022</v>
      </c>
      <c r="I17" s="31">
        <f>D17*H17</f>
        <v>28.511999999999997</v>
      </c>
      <c r="J17" s="32">
        <f>rate_framing</f>
        <v>72.0</v>
      </c>
      <c r="K17" s="29">
        <f>I17*J17</f>
        <v>2052.8639999999996</v>
      </c>
      <c r="L17" s="28" t="n">
        <v>0</v>
      </c>
      <c r="M17" s="29">
        <f>D17*L17</f>
        <v>0.0</v>
      </c>
      <c r="N17" s="33">
        <f>G17+K17+M17</f>
        <v>3932.0639999999994</v>
      </c>
    </row>
    <row r="18">
      <c r="A18" s="8" t="n">
        <v>13</v>
      </c>
      <c r="B18" s="8" t="inlineStr">
        <is>
          <t>Second floor floor system</t>
        </is>
      </c>
      <c r="C18" s="11" t="inlineStr">
        <is>
          <t>Subfloor construction adhesive (28 oz polyurethane tubes)</t>
        </is>
      </c>
      <c r="D18" s="27">
        <f>'Quantity Takeoff'!H18</f>
        <v>8.0</v>
      </c>
      <c r="E18" s="8" t="inlineStr">
        <is>
          <t>EA</t>
        </is>
      </c>
      <c r="F18" s="28" t="n">
        <v>11.5</v>
      </c>
      <c r="G18" s="29">
        <f>D18*F18</f>
        <v>92.0</v>
      </c>
      <c r="H18" s="30" t="n">
        <v>0.015</v>
      </c>
      <c r="I18" s="31">
        <f>D18*H18</f>
        <v>0.12</v>
      </c>
      <c r="J18" s="32">
        <f>rate_framing</f>
        <v>72.0</v>
      </c>
      <c r="K18" s="29">
        <f>I18*J18</f>
        <v>8.64</v>
      </c>
      <c r="L18" s="28" t="n">
        <v>0</v>
      </c>
      <c r="M18" s="29">
        <f>D18*L18</f>
        <v>0.0</v>
      </c>
      <c r="N18" s="33">
        <f>G18+K18+M18</f>
        <v>100.64</v>
      </c>
    </row>
    <row r="19">
      <c r="A19" s="8" t="n">
        <v>14</v>
      </c>
      <c r="B19" s="8" t="inlineStr">
        <is>
          <t>Second floor wall framing (8'-0" wall)</t>
        </is>
      </c>
      <c r="C19" s="11" t="inlineStr">
        <is>
          <t>2x6 Exterior wall plates (sole + double top)</t>
        </is>
      </c>
      <c r="D19" s="27">
        <f>'Quantity Takeoff'!H19</f>
        <v>453.6</v>
      </c>
      <c r="E19" s="8" t="inlineStr">
        <is>
          <t>LF</t>
        </is>
      </c>
      <c r="F19" s="28" t="n">
        <v>1.15</v>
      </c>
      <c r="G19" s="29">
        <f>D19*F19</f>
        <v>521.64</v>
      </c>
      <c r="H19" s="30" t="n">
        <v>0.03</v>
      </c>
      <c r="I19" s="31">
        <f>D19*H19</f>
        <v>13.608</v>
      </c>
      <c r="J19" s="32">
        <f>rate_framing</f>
        <v>72.0</v>
      </c>
      <c r="K19" s="29">
        <f>I19*J19</f>
        <v>979.7760000000001</v>
      </c>
      <c r="L19" s="28" t="n">
        <v>0</v>
      </c>
      <c r="M19" s="29">
        <f>D19*L19</f>
        <v>0.0</v>
      </c>
      <c r="N19" s="33">
        <f>G19+K19+M19</f>
        <v>1501.4160000000002</v>
      </c>
    </row>
    <row r="20">
      <c r="A20" s="8" t="n">
        <v>15</v>
      </c>
      <c r="B20" s="8" t="inlineStr">
        <is>
          <t>Second floor wall framing (8'-0" wall)</t>
        </is>
      </c>
      <c r="C20" s="11" t="inlineStr">
        <is>
          <t>2x6 Exterior wall studs @ 16" o.c. (precut 92-5/8")</t>
        </is>
      </c>
      <c r="D20" s="27">
        <f>'Quantity Takeoff'!H20</f>
        <v>141.75</v>
      </c>
      <c r="E20" s="8" t="inlineStr">
        <is>
          <t>EA</t>
        </is>
      </c>
      <c r="F20" s="28" t="n">
        <v>7.4</v>
      </c>
      <c r="G20" s="29">
        <f>D20*F20</f>
        <v>1048.95</v>
      </c>
      <c r="H20" s="30" t="n">
        <v>0.11</v>
      </c>
      <c r="I20" s="31">
        <f>D20*H20</f>
        <v>15.5925</v>
      </c>
      <c r="J20" s="32">
        <f>rate_framing</f>
        <v>72.0</v>
      </c>
      <c r="K20" s="29">
        <f>I20*J20</f>
        <v>1122.6599999999999</v>
      </c>
      <c r="L20" s="28" t="n">
        <v>0</v>
      </c>
      <c r="M20" s="29">
        <f>D20*L20</f>
        <v>0.0</v>
      </c>
      <c r="N20" s="33">
        <f>G20+K20+M20</f>
        <v>2171.6099999999997</v>
      </c>
    </row>
    <row r="21">
      <c r="A21" s="8" t="n">
        <v>16</v>
      </c>
      <c r="B21" s="8" t="inlineStr">
        <is>
          <t>Second floor wall framing (8'-0" wall)</t>
        </is>
      </c>
      <c r="C21" s="11" t="inlineStr">
        <is>
          <t>2x4 Interior partition plates (sole + double top)</t>
        </is>
      </c>
      <c r="D21" s="27">
        <f>'Quantity Takeoff'!H21</f>
        <v>453.6</v>
      </c>
      <c r="E21" s="8" t="inlineStr">
        <is>
          <t>LF</t>
        </is>
      </c>
      <c r="F21" s="28" t="n">
        <v>0.75</v>
      </c>
      <c r="G21" s="29">
        <f>D21*F21</f>
        <v>340.20000000000005</v>
      </c>
      <c r="H21" s="30" t="n">
        <v>0.025</v>
      </c>
      <c r="I21" s="31">
        <f>D21*H21</f>
        <v>11.340000000000002</v>
      </c>
      <c r="J21" s="32">
        <f>rate_framing</f>
        <v>72.0</v>
      </c>
      <c r="K21" s="29">
        <f>I21*J21</f>
        <v>816.4800000000001</v>
      </c>
      <c r="L21" s="28" t="n">
        <v>0</v>
      </c>
      <c r="M21" s="29">
        <f>D21*L21</f>
        <v>0.0</v>
      </c>
      <c r="N21" s="33">
        <f>G21+K21+M21</f>
        <v>1156.6800000000003</v>
      </c>
    </row>
    <row r="22">
      <c r="A22" s="8" t="n">
        <v>17</v>
      </c>
      <c r="B22" s="8" t="inlineStr">
        <is>
          <t>Second floor wall framing (8'-0" wall)</t>
        </is>
      </c>
      <c r="C22" s="11" t="inlineStr">
        <is>
          <t>2x4 Interior partition studs @ 16" o.c. (precut 92-5/8")</t>
        </is>
      </c>
      <c r="D22" s="27">
        <f>'Quantity Takeoff'!H22</f>
        <v>141.75</v>
      </c>
      <c r="E22" s="8" t="inlineStr">
        <is>
          <t>EA</t>
        </is>
      </c>
      <c r="F22" s="28" t="n">
        <v>5.1</v>
      </c>
      <c r="G22" s="29">
        <f>D22*F22</f>
        <v>722.925</v>
      </c>
      <c r="H22" s="30" t="n">
        <v>0.09</v>
      </c>
      <c r="I22" s="31">
        <f>D22*H22</f>
        <v>12.7575</v>
      </c>
      <c r="J22" s="32">
        <f>rate_framing</f>
        <v>72.0</v>
      </c>
      <c r="K22" s="29">
        <f>I22*J22</f>
        <v>918.54</v>
      </c>
      <c r="L22" s="28" t="n">
        <v>0</v>
      </c>
      <c r="M22" s="29">
        <f>D22*L22</f>
        <v>0.0</v>
      </c>
      <c r="N22" s="33">
        <f>G22+K22+M22</f>
        <v>1641.465</v>
      </c>
    </row>
    <row r="23">
      <c r="A23" s="8" t="n">
        <v>18</v>
      </c>
      <c r="B23" s="8" t="inlineStr">
        <is>
          <t>Second floor wall framing (8'-0" wall)</t>
        </is>
      </c>
      <c r="C23" s="11" t="inlineStr">
        <is>
          <t>Built-up 2x10 headers (2nd floor window openings)</t>
        </is>
      </c>
      <c r="D23" s="27">
        <f>'Quantity Takeoff'!H23</f>
        <v>69.12</v>
      </c>
      <c r="E23" s="8" t="inlineStr">
        <is>
          <t>LF</t>
        </is>
      </c>
      <c r="F23" s="28" t="n">
        <v>3.6</v>
      </c>
      <c r="G23" s="29">
        <f>D23*F23</f>
        <v>248.83200000000002</v>
      </c>
      <c r="H23" s="30" t="n">
        <v>0.08</v>
      </c>
      <c r="I23" s="31">
        <f>D23*H23</f>
        <v>5.5296</v>
      </c>
      <c r="J23" s="32">
        <f>rate_framing</f>
        <v>72.0</v>
      </c>
      <c r="K23" s="29">
        <f>I23*J23</f>
        <v>398.13120000000004</v>
      </c>
      <c r="L23" s="28" t="n">
        <v>0</v>
      </c>
      <c r="M23" s="29">
        <f>D23*L23</f>
        <v>0.0</v>
      </c>
      <c r="N23" s="33">
        <f>G23+K23+M23</f>
        <v>646.9632</v>
      </c>
    </row>
    <row r="24">
      <c r="A24" s="8" t="n">
        <v>19</v>
      </c>
      <c r="B24" s="8" t="inlineStr">
        <is>
          <t>Roof framing &amp; trusses</t>
        </is>
      </c>
      <c r="C24" s="11" t="inlineStr">
        <is>
          <t>Engineered common roof trusses (32' span, 6:12 pitch, 24" o.c.)</t>
        </is>
      </c>
      <c r="D24" s="27">
        <f>'Quantity Takeoff'!H24</f>
        <v>20.0</v>
      </c>
      <c r="E24" s="8" t="inlineStr">
        <is>
          <t>EA</t>
        </is>
      </c>
      <c r="F24" s="28" t="n">
        <v>185</v>
      </c>
      <c r="G24" s="29">
        <f>D24*F24</f>
        <v>3700.0</v>
      </c>
      <c r="H24" s="30" t="n">
        <v>0.85</v>
      </c>
      <c r="I24" s="31">
        <f>D24*H24</f>
        <v>17.0</v>
      </c>
      <c r="J24" s="32">
        <f>rate_framing</f>
        <v>72.0</v>
      </c>
      <c r="K24" s="29">
        <f>I24*J24</f>
        <v>1224.0</v>
      </c>
      <c r="L24" s="28" t="n">
        <v>0</v>
      </c>
      <c r="M24" s="29">
        <f>D24*L24</f>
        <v>0.0</v>
      </c>
      <c r="N24" s="33">
        <f>G24+K24+M24</f>
        <v>4924.0</v>
      </c>
    </row>
    <row r="25">
      <c r="A25" s="8" t="n">
        <v>20</v>
      </c>
      <c r="B25" s="8" t="inlineStr">
        <is>
          <t>Roof framing &amp; trusses</t>
        </is>
      </c>
      <c r="C25" s="11" t="inlineStr">
        <is>
          <t>Engineered gable end roof trusses</t>
        </is>
      </c>
      <c r="D25" s="27">
        <f>'Quantity Takeoff'!H25</f>
        <v>2.0</v>
      </c>
      <c r="E25" s="8" t="inlineStr">
        <is>
          <t>EA</t>
        </is>
      </c>
      <c r="F25" s="28" t="n">
        <v>235</v>
      </c>
      <c r="G25" s="29">
        <f>D25*F25</f>
        <v>470.0</v>
      </c>
      <c r="H25" s="30" t="n">
        <v>1.2</v>
      </c>
      <c r="I25" s="31">
        <f>D25*H25</f>
        <v>2.4</v>
      </c>
      <c r="J25" s="32">
        <f>rate_framing</f>
        <v>72.0</v>
      </c>
      <c r="K25" s="29">
        <f>I25*J25</f>
        <v>172.79999999999998</v>
      </c>
      <c r="L25" s="28" t="n">
        <v>0</v>
      </c>
      <c r="M25" s="29">
        <f>D25*L25</f>
        <v>0.0</v>
      </c>
      <c r="N25" s="33">
        <f>G25+K25+M25</f>
        <v>642.8</v>
      </c>
    </row>
    <row r="26">
      <c r="A26" s="8" t="n">
        <v>21</v>
      </c>
      <c r="B26" s="8" t="inlineStr">
        <is>
          <t>Roof framing &amp; trusses</t>
        </is>
      </c>
      <c r="C26" s="11" t="inlineStr">
        <is>
          <t>Mobile crane service for roof truss erection (4 hour minimum)</t>
        </is>
      </c>
      <c r="D26" s="27">
        <f>'Quantity Takeoff'!H26</f>
        <v>4.0</v>
      </c>
      <c r="E26" s="8" t="inlineStr">
        <is>
          <t>HR</t>
        </is>
      </c>
      <c r="F26" s="28" t="n">
        <v>0</v>
      </c>
      <c r="G26" s="29">
        <f>D26*F26</f>
        <v>0.0</v>
      </c>
      <c r="H26" s="30" t="n">
        <v>0</v>
      </c>
      <c r="I26" s="31">
        <f>D26*H26</f>
        <v>0.0</v>
      </c>
      <c r="J26" s="32">
        <f>rate_crane</f>
        <v>220.0</v>
      </c>
      <c r="K26" s="29">
        <f>I26*J26</f>
        <v>0.0</v>
      </c>
      <c r="L26" s="28" t="n">
        <v>220</v>
      </c>
      <c r="M26" s="29">
        <f>D26*L26</f>
        <v>880.0</v>
      </c>
      <c r="N26" s="33">
        <f>G26+K26+M26</f>
        <v>880.0</v>
      </c>
    </row>
    <row r="27">
      <c r="A27" s="8" t="n">
        <v>22</v>
      </c>
      <c r="B27" s="8" t="inlineStr">
        <is>
          <t>Roof framing &amp; trusses</t>
        </is>
      </c>
      <c r="C27" s="11" t="inlineStr">
        <is>
          <t>2x6 Subfascia board at eaves and gables</t>
        </is>
      </c>
      <c r="D27" s="27">
        <f>'Quantity Takeoff'!H27</f>
        <v>167.48640000000003</v>
      </c>
      <c r="E27" s="8" t="inlineStr">
        <is>
          <t>LF</t>
        </is>
      </c>
      <c r="F27" s="28" t="n">
        <v>1.2</v>
      </c>
      <c r="G27" s="29">
        <f>D27*F27</f>
        <v>200.98368000000002</v>
      </c>
      <c r="H27" s="30" t="n">
        <v>0.035</v>
      </c>
      <c r="I27" s="31">
        <f>D27*H27</f>
        <v>5.862024000000002</v>
      </c>
      <c r="J27" s="32">
        <f>rate_framing</f>
        <v>72.0</v>
      </c>
      <c r="K27" s="29">
        <f>I27*J27</f>
        <v>422.06572800000015</v>
      </c>
      <c r="L27" s="28" t="n">
        <v>0</v>
      </c>
      <c r="M27" s="29">
        <f>D27*L27</f>
        <v>0.0</v>
      </c>
      <c r="N27" s="33">
        <f>G27+K27+M27</f>
        <v>623.0494080000002</v>
      </c>
    </row>
    <row r="28">
      <c r="A28" s="8" t="n">
        <v>23</v>
      </c>
      <c r="B28" s="8" t="inlineStr">
        <is>
          <t>Roof framing &amp; trusses</t>
        </is>
      </c>
      <c r="C28" s="11" t="inlineStr">
        <is>
          <t>2x4 Truss lateral bracing and web bracing per truss engineering</t>
        </is>
      </c>
      <c r="D28" s="27">
        <f>'Quantity Takeoff'!H28</f>
        <v>420.0</v>
      </c>
      <c r="E28" s="8" t="inlineStr">
        <is>
          <t>LF</t>
        </is>
      </c>
      <c r="F28" s="28" t="n">
        <v>0.75</v>
      </c>
      <c r="G28" s="29">
        <f>D28*F28</f>
        <v>315.0</v>
      </c>
      <c r="H28" s="30" t="n">
        <v>0.025</v>
      </c>
      <c r="I28" s="31">
        <f>D28*H28</f>
        <v>10.5</v>
      </c>
      <c r="J28" s="32">
        <f>rate_framing</f>
        <v>72.0</v>
      </c>
      <c r="K28" s="29">
        <f>I28*J28</f>
        <v>756.0</v>
      </c>
      <c r="L28" s="28" t="n">
        <v>0</v>
      </c>
      <c r="M28" s="29">
        <f>D28*L28</f>
        <v>0.0</v>
      </c>
      <c r="N28" s="33">
        <f>G28+K28+M28</f>
        <v>1071.0</v>
      </c>
    </row>
    <row r="29">
      <c r="A29" s="8" t="n">
        <v>24</v>
      </c>
      <c r="B29" s="8" t="inlineStr">
        <is>
          <t>Sheathing &amp; weather barrier</t>
        </is>
      </c>
      <c r="C29" s="11" t="inlineStr">
        <is>
          <t>7/16" OSB exterior wall sheathing (APA Rated Sheathing)</t>
        </is>
      </c>
      <c r="D29" s="27">
        <f>'Quantity Takeoff'!H29</f>
        <v>2721.6000000000004</v>
      </c>
      <c r="E29" s="8" t="inlineStr">
        <is>
          <t>SF</t>
        </is>
      </c>
      <c r="F29" s="28" t="n">
        <v>0.68</v>
      </c>
      <c r="G29" s="29">
        <f>D29*F29</f>
        <v>1850.6880000000003</v>
      </c>
      <c r="H29" s="30" t="n">
        <v>0.016</v>
      </c>
      <c r="I29" s="31">
        <f>D29*H29</f>
        <v>43.54560000000001</v>
      </c>
      <c r="J29" s="32">
        <f>rate_framing</f>
        <v>72.0</v>
      </c>
      <c r="K29" s="29">
        <f>I29*J29</f>
        <v>3135.2832000000008</v>
      </c>
      <c r="L29" s="28" t="n">
        <v>0</v>
      </c>
      <c r="M29" s="29">
        <f>D29*L29</f>
        <v>0.0</v>
      </c>
      <c r="N29" s="33">
        <f>G29+K29+M29</f>
        <v>4985.971200000001</v>
      </c>
    </row>
    <row r="30">
      <c r="A30" s="8" t="n">
        <v>25</v>
      </c>
      <c r="B30" s="8" t="inlineStr">
        <is>
          <t>Sheathing &amp; weather barrier</t>
        </is>
      </c>
      <c r="C30" s="11" t="inlineStr">
        <is>
          <t>Spunbonded polyolefin housewrap weather barrier (Tyvek)</t>
        </is>
      </c>
      <c r="D30" s="27">
        <f>'Quantity Takeoff'!H30</f>
        <v>3042.9</v>
      </c>
      <c r="E30" s="8" t="inlineStr">
        <is>
          <t>SF</t>
        </is>
      </c>
      <c r="F30" s="28" t="n">
        <v>0.22</v>
      </c>
      <c r="G30" s="29">
        <f>D30*F30</f>
        <v>669.438</v>
      </c>
      <c r="H30" s="30" t="n">
        <v>0.005</v>
      </c>
      <c r="I30" s="31">
        <f>D30*H30</f>
        <v>15.214500000000001</v>
      </c>
      <c r="J30" s="32">
        <f>rate_framing</f>
        <v>72.0</v>
      </c>
      <c r="K30" s="29">
        <f>I30*J30</f>
        <v>1095.444</v>
      </c>
      <c r="L30" s="28" t="n">
        <v>0</v>
      </c>
      <c r="M30" s="29">
        <f>D30*L30</f>
        <v>0.0</v>
      </c>
      <c r="N30" s="33">
        <f>G30+K30+M30</f>
        <v>1764.882</v>
      </c>
    </row>
    <row r="31">
      <c r="A31" s="8" t="n">
        <v>26</v>
      </c>
      <c r="B31" s="8" t="inlineStr">
        <is>
          <t>Sheathing &amp; weather barrier</t>
        </is>
      </c>
      <c r="C31" s="11" t="inlineStr">
        <is>
          <t>7/16" OSB roof sheathing (APA Rated)</t>
        </is>
      </c>
      <c r="D31" s="27">
        <f>'Quantity Takeoff'!H31</f>
        <v>1622.7993600000002</v>
      </c>
      <c r="E31" s="8" t="inlineStr">
        <is>
          <t>SF</t>
        </is>
      </c>
      <c r="F31" s="28" t="n">
        <v>0.72</v>
      </c>
      <c r="G31" s="29">
        <f>D31*F31</f>
        <v>1168.4155392</v>
      </c>
      <c r="H31" s="30" t="n">
        <v>0.02</v>
      </c>
      <c r="I31" s="31">
        <f>D31*H31</f>
        <v>32.4559872</v>
      </c>
      <c r="J31" s="32">
        <f>rate_framing</f>
        <v>72.0</v>
      </c>
      <c r="K31" s="29">
        <f>I31*J31</f>
        <v>2336.8310784</v>
      </c>
      <c r="L31" s="28" t="n">
        <v>0</v>
      </c>
      <c r="M31" s="29">
        <f>D31*L31</f>
        <v>0.0</v>
      </c>
      <c r="N31" s="33">
        <f>G31+K31+M31</f>
        <v>3505.2466176</v>
      </c>
    </row>
    <row r="32">
      <c r="A32" s="8" t="n">
        <v>27</v>
      </c>
      <c r="B32" s="8" t="inlineStr">
        <is>
          <t>Sheathing &amp; weather barrier</t>
        </is>
      </c>
      <c r="C32" s="11" t="inlineStr">
        <is>
          <t>7/16" Sheathing H-clips (panel edge clips)</t>
        </is>
      </c>
      <c r="D32" s="27">
        <f>'Quantity Takeoff'!H32</f>
        <v>126.0</v>
      </c>
      <c r="E32" s="8" t="inlineStr">
        <is>
          <t>EA</t>
        </is>
      </c>
      <c r="F32" s="28" t="n">
        <v>0.18</v>
      </c>
      <c r="G32" s="29">
        <f>D32*F32</f>
        <v>22.68</v>
      </c>
      <c r="H32" s="30" t="n">
        <v>0.005</v>
      </c>
      <c r="I32" s="31">
        <f>D32*H32</f>
        <v>0.63</v>
      </c>
      <c r="J32" s="32">
        <f>rate_framing</f>
        <v>72.0</v>
      </c>
      <c r="K32" s="29">
        <f>I32*J32</f>
        <v>45.36</v>
      </c>
      <c r="L32" s="28" t="n">
        <v>0</v>
      </c>
      <c r="M32" s="29">
        <f>D32*L32</f>
        <v>0.0</v>
      </c>
      <c r="N32" s="33">
        <f>G32+K32+M32</f>
        <v>68.03999999999999</v>
      </c>
    </row>
    <row r="33">
      <c r="A33" s="8" t="n">
        <v>28</v>
      </c>
      <c r="B33" s="8" t="inlineStr">
        <is>
          <t>Structural connectors &amp; fasteners</t>
        </is>
      </c>
      <c r="C33" s="11" t="inlineStr">
        <is>
          <t>Simpson H2.5A hurricane ties (truss-to-plate connector)</t>
        </is>
      </c>
      <c r="D33" s="27">
        <f>'Quantity Takeoff'!H33</f>
        <v>44.0</v>
      </c>
      <c r="E33" s="8" t="inlineStr">
        <is>
          <t>EA</t>
        </is>
      </c>
      <c r="F33" s="28" t="n">
        <v>1.45</v>
      </c>
      <c r="G33" s="29">
        <f>D33*F33</f>
        <v>63.8</v>
      </c>
      <c r="H33" s="30" t="n">
        <v>0.06</v>
      </c>
      <c r="I33" s="31">
        <f>D33*H33</f>
        <v>2.6399999999999997</v>
      </c>
      <c r="J33" s="32">
        <f>rate_framing</f>
        <v>72.0</v>
      </c>
      <c r="K33" s="29">
        <f>I33*J33</f>
        <v>190.07999999999998</v>
      </c>
      <c r="L33" s="28" t="n">
        <v>0</v>
      </c>
      <c r="M33" s="29">
        <f>D33*L33</f>
        <v>0.0</v>
      </c>
      <c r="N33" s="33">
        <f>G33+K33+M33</f>
        <v>253.88</v>
      </c>
    </row>
    <row r="34">
      <c r="A34" s="8" t="n">
        <v>29</v>
      </c>
      <c r="B34" s="8" t="inlineStr">
        <is>
          <t>Structural connectors &amp; fasteners</t>
        </is>
      </c>
      <c r="C34" s="11" t="inlineStr">
        <is>
          <t>Simpson ITS / IUS top-mount I-joist hangers</t>
        </is>
      </c>
      <c r="D34" s="27">
        <f>'Quantity Takeoff'!H34</f>
        <v>62.0</v>
      </c>
      <c r="E34" s="8" t="inlineStr">
        <is>
          <t>EA</t>
        </is>
      </c>
      <c r="F34" s="28" t="n">
        <v>3.8</v>
      </c>
      <c r="G34" s="29">
        <f>D34*F34</f>
        <v>235.6</v>
      </c>
      <c r="H34" s="30" t="n">
        <v>0.12</v>
      </c>
      <c r="I34" s="31">
        <f>D34*H34</f>
        <v>7.4399999999999995</v>
      </c>
      <c r="J34" s="32">
        <f>rate_framing</f>
        <v>72.0</v>
      </c>
      <c r="K34" s="29">
        <f>I34*J34</f>
        <v>535.68</v>
      </c>
      <c r="L34" s="28" t="n">
        <v>0</v>
      </c>
      <c r="M34" s="29">
        <f>D34*L34</f>
        <v>0.0</v>
      </c>
      <c r="N34" s="33">
        <f>G34+K34+M34</f>
        <v>771.28</v>
      </c>
    </row>
    <row r="35">
      <c r="A35" s="8" t="n">
        <v>30</v>
      </c>
      <c r="B35" s="8" t="inlineStr">
        <is>
          <t>Structural connectors &amp; fasteners</t>
        </is>
      </c>
      <c r="C35" s="11" t="inlineStr">
        <is>
          <t>Simpson HD2A hold-down anchors &amp; 5/8" threaded rods</t>
        </is>
      </c>
      <c r="D35" s="27">
        <f>'Quantity Takeoff'!H35</f>
        <v>8.0</v>
      </c>
      <c r="E35" s="8" t="inlineStr">
        <is>
          <t>EA</t>
        </is>
      </c>
      <c r="F35" s="28" t="n">
        <v>28</v>
      </c>
      <c r="G35" s="29">
        <f>D35*F35</f>
        <v>224.0</v>
      </c>
      <c r="H35" s="30" t="n">
        <v>0.45</v>
      </c>
      <c r="I35" s="31">
        <f>D35*H35</f>
        <v>3.6</v>
      </c>
      <c r="J35" s="32">
        <f>rate_framing</f>
        <v>72.0</v>
      </c>
      <c r="K35" s="29">
        <f>I35*J35</f>
        <v>259.2</v>
      </c>
      <c r="L35" s="28" t="n">
        <v>0</v>
      </c>
      <c r="M35" s="29">
        <f>D35*L35</f>
        <v>0.0</v>
      </c>
      <c r="N35" s="33">
        <f>G35+K35+M35</f>
        <v>483.2</v>
      </c>
    </row>
    <row r="36">
      <c r="A36" s="8" t="n">
        <v>31</v>
      </c>
      <c r="B36" s="8" t="inlineStr">
        <is>
          <t>Structural connectors &amp; fasteners</t>
        </is>
      </c>
      <c r="C36" s="11" t="inlineStr">
        <is>
          <t>Collated framing nails package (16d, 10d, 8d ring shank)</t>
        </is>
      </c>
      <c r="D36" s="27">
        <f>'Quantity Takeoff'!H36</f>
        <v>1.0</v>
      </c>
      <c r="E36" s="8" t="inlineStr">
        <is>
          <t>LS</t>
        </is>
      </c>
      <c r="F36" s="28" t="n">
        <v>480</v>
      </c>
      <c r="G36" s="29">
        <f>D36*F36</f>
        <v>480.0</v>
      </c>
      <c r="H36" s="30" t="n">
        <v>0</v>
      </c>
      <c r="I36" s="31">
        <f>D36*H36</f>
        <v>0.0</v>
      </c>
      <c r="J36" s="32">
        <f>rate_framing</f>
        <v>72.0</v>
      </c>
      <c r="K36" s="29">
        <f>I36*J36</f>
        <v>0.0</v>
      </c>
      <c r="L36" s="28" t="n">
        <v>0</v>
      </c>
      <c r="M36" s="29">
        <f>D36*L36</f>
        <v>0.0</v>
      </c>
      <c r="N36" s="33">
        <f>G36+K36+M36</f>
        <v>480.0</v>
      </c>
    </row>
    <row r="37">
      <c r="C37" s="19" t="inlineStr">
        <is>
          <t>Direct cost totals</t>
        </is>
      </c>
      <c r="G37" s="34">
        <f>SUM(G6:G36)</f>
        <v>23690.3402192</v>
      </c>
      <c r="I37" s="35">
        <f>SUM(I6:I36)</f>
        <v>372.7991112</v>
      </c>
      <c r="K37" s="34">
        <f>SUM(K6:K36)</f>
        <v>26841.5360064</v>
      </c>
      <c r="M37" s="34">
        <f>SUM(M6:M36)</f>
        <v>880.0</v>
      </c>
      <c r="N37" s="34">
        <f>SUM(N6:N36)</f>
        <v>51411.876225600005</v>
      </c>
    </row>
  </sheetData>
  <mergeCells count="1">
    <mergeCell ref="A3:N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5" customWidth="1" min="3" max="3"/>
    <col width="11" customWidth="1" min="4" max="4"/>
    <col width="15" customWidth="1" min="5" max="5"/>
    <col width="14" customWidth="1" min="6" max="6"/>
    <col width="16" customWidth="1" min="7" max="7"/>
  </cols>
  <sheetData>
    <row r="1">
      <c r="A1" s="1" t="inlineStr">
        <is>
          <t>F&amp;K Estimatings</t>
        </is>
      </c>
    </row>
    <row r="2">
      <c r="A2" s="2" t="inlineStr">
        <is>
          <t>Wood Framing Takeoff Sample — Summary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 ht="26" customHeight="1">
      <c r="A5" s="7" t="inlineStr">
        <is>
          <t>Group</t>
        </is>
      </c>
      <c r="B5" s="7" t="inlineStr">
        <is>
          <t>Line items</t>
        </is>
      </c>
      <c r="C5" s="7" t="inlineStr">
        <is>
          <t>Material $</t>
        </is>
      </c>
      <c r="D5" s="7" t="inlineStr">
        <is>
          <t>Labor hrs</t>
        </is>
      </c>
      <c r="E5" s="7" t="inlineStr">
        <is>
          <t>Labor $</t>
        </is>
      </c>
      <c r="F5" s="7" t="inlineStr">
        <is>
          <t>Equipment $</t>
        </is>
      </c>
      <c r="G5" s="7" t="inlineStr">
        <is>
          <t>Total $</t>
        </is>
      </c>
    </row>
    <row r="6">
      <c r="A6" s="8" t="inlineStr">
        <is>
          <t>Foundation plates &amp; sills</t>
        </is>
      </c>
      <c r="B6" s="8">
        <f>COUNTIF(Pricing!$B$6:$B$36,A6)</f>
        <v>3.0</v>
      </c>
      <c r="C6" s="29">
        <f>SUMIF(Pricing!$B$6:$B$36,$A6,Pricing!$G$6:$G$36)</f>
        <v>425.95000000000005</v>
      </c>
      <c r="D6" s="31">
        <f>SUMIF(Pricing!$B$6:$B$36,$A6,Pricing!$I$6:$I$36)</f>
        <v>11.062000000000001</v>
      </c>
      <c r="E6" s="29">
        <f>SUMIF(Pricing!$B$6:$B$36,$A6,Pricing!$K$6:$K$36)</f>
        <v>796.464</v>
      </c>
      <c r="F6" s="29">
        <f>SUMIF(Pricing!$B$6:$B$36,$A6,Pricing!$M$6:$M$36)</f>
        <v>0.0</v>
      </c>
      <c r="G6" s="29">
        <f>SUMIF(Pricing!$B$6:$B$36,$A6,Pricing!$N$6:$N$36)</f>
        <v>1222.4140000000002</v>
      </c>
    </row>
    <row r="7">
      <c r="A7" s="8" t="inlineStr">
        <is>
          <t>First floor wall framing (9'-0" wall)</t>
        </is>
      </c>
      <c r="B7" s="8">
        <f>COUNTIF(Pricing!$B$6:$B$36,A7)</f>
        <v>5.0</v>
      </c>
      <c r="C7" s="29">
        <f>SUMIF(Pricing!$B$6:$B$36,$A7,Pricing!$G$6:$G$36)</f>
        <v>3121.638</v>
      </c>
      <c r="D7" s="31">
        <f>SUMIF(Pricing!$B$6:$B$36,$A7,Pricing!$I$6:$I$36)</f>
        <v>61.3374</v>
      </c>
      <c r="E7" s="29">
        <f>SUMIF(Pricing!$B$6:$B$36,$A7,Pricing!$K$6:$K$36)</f>
        <v>4416.2928</v>
      </c>
      <c r="F7" s="29">
        <f>SUMIF(Pricing!$B$6:$B$36,$A7,Pricing!$M$6:$M$36)</f>
        <v>0.0</v>
      </c>
      <c r="G7" s="29">
        <f>SUMIF(Pricing!$B$6:$B$36,$A7,Pricing!$N$6:$N$36)</f>
        <v>7537.9308</v>
      </c>
    </row>
    <row r="8">
      <c r="A8" s="8" t="inlineStr">
        <is>
          <t>Second floor floor system</t>
        </is>
      </c>
      <c r="B8" s="8">
        <f>COUNTIF(Pricing!$B$6:$B$36,A8)</f>
        <v>5.0</v>
      </c>
      <c r="C8" s="29">
        <f>SUMIF(Pricing!$B$6:$B$36,$A8,Pricing!$G$6:$G$36)</f>
        <v>7859.6</v>
      </c>
      <c r="D8" s="31">
        <f>SUMIF(Pricing!$B$6:$B$36,$A8,Pricing!$I$6:$I$36)</f>
        <v>100.284</v>
      </c>
      <c r="E8" s="29">
        <f>SUMIF(Pricing!$B$6:$B$36,$A8,Pricing!$K$6:$K$36)</f>
        <v>7220.448</v>
      </c>
      <c r="F8" s="29">
        <f>SUMIF(Pricing!$B$6:$B$36,$A8,Pricing!$M$6:$M$36)</f>
        <v>0.0</v>
      </c>
      <c r="G8" s="29">
        <f>SUMIF(Pricing!$B$6:$B$36,$A8,Pricing!$N$6:$N$36)</f>
        <v>15080.048</v>
      </c>
    </row>
    <row r="9">
      <c r="A9" s="8" t="inlineStr">
        <is>
          <t>Second floor wall framing (8'-0" wall)</t>
        </is>
      </c>
      <c r="B9" s="8">
        <f>COUNTIF(Pricing!$B$6:$B$36,A9)</f>
        <v>5.0</v>
      </c>
      <c r="C9" s="29">
        <f>SUMIF(Pricing!$B$6:$B$36,$A9,Pricing!$G$6:$G$36)</f>
        <v>2882.547</v>
      </c>
      <c r="D9" s="31">
        <f>SUMIF(Pricing!$B$6:$B$36,$A9,Pricing!$I$6:$I$36)</f>
        <v>58.827600000000004</v>
      </c>
      <c r="E9" s="29">
        <f>SUMIF(Pricing!$B$6:$B$36,$A9,Pricing!$K$6:$K$36)</f>
        <v>4235.5872</v>
      </c>
      <c r="F9" s="29">
        <f>SUMIF(Pricing!$B$6:$B$36,$A9,Pricing!$M$6:$M$36)</f>
        <v>0.0</v>
      </c>
      <c r="G9" s="29">
        <f>SUMIF(Pricing!$B$6:$B$36,$A9,Pricing!$N$6:$N$36)</f>
        <v>7118.1342</v>
      </c>
    </row>
    <row r="10">
      <c r="A10" s="8" t="inlineStr">
        <is>
          <t>Roof framing &amp; trusses</t>
        </is>
      </c>
      <c r="B10" s="8">
        <f>COUNTIF(Pricing!$B$6:$B$36,A10)</f>
        <v>5.0</v>
      </c>
      <c r="C10" s="29">
        <f>SUMIF(Pricing!$B$6:$B$36,$A10,Pricing!$G$6:$G$36)</f>
        <v>4685.98368</v>
      </c>
      <c r="D10" s="31">
        <f>SUMIF(Pricing!$B$6:$B$36,$A10,Pricing!$I$6:$I$36)</f>
        <v>35.762024000000004</v>
      </c>
      <c r="E10" s="29">
        <f>SUMIF(Pricing!$B$6:$B$36,$A10,Pricing!$K$6:$K$36)</f>
        <v>2574.865728</v>
      </c>
      <c r="F10" s="29">
        <f>SUMIF(Pricing!$B$6:$B$36,$A10,Pricing!$M$6:$M$36)</f>
        <v>880.0</v>
      </c>
      <c r="G10" s="29">
        <f>SUMIF(Pricing!$B$6:$B$36,$A10,Pricing!$N$6:$N$36)</f>
        <v>8140.849408</v>
      </c>
    </row>
    <row r="11">
      <c r="A11" s="8" t="inlineStr">
        <is>
          <t>Sheathing &amp; weather barrier</t>
        </is>
      </c>
      <c r="B11" s="8">
        <f>COUNTIF(Pricing!$B$6:$B$36,A11)</f>
        <v>4.0</v>
      </c>
      <c r="C11" s="29">
        <f>SUMIF(Pricing!$B$6:$B$36,$A11,Pricing!$G$6:$G$36)</f>
        <v>3711.2215392000003</v>
      </c>
      <c r="D11" s="31">
        <f>SUMIF(Pricing!$B$6:$B$36,$A11,Pricing!$I$6:$I$36)</f>
        <v>91.84608720000001</v>
      </c>
      <c r="E11" s="29">
        <f>SUMIF(Pricing!$B$6:$B$36,$A11,Pricing!$K$6:$K$36)</f>
        <v>6612.9182784</v>
      </c>
      <c r="F11" s="29">
        <f>SUMIF(Pricing!$B$6:$B$36,$A11,Pricing!$M$6:$M$36)</f>
        <v>0.0</v>
      </c>
      <c r="G11" s="29">
        <f>SUMIF(Pricing!$B$6:$B$36,$A11,Pricing!$N$6:$N$36)</f>
        <v>10324.1398176</v>
      </c>
    </row>
    <row r="12">
      <c r="A12" s="8" t="inlineStr">
        <is>
          <t>Structural connectors &amp; fasteners</t>
        </is>
      </c>
      <c r="B12" s="8">
        <f>COUNTIF(Pricing!$B$6:$B$36,A12)</f>
        <v>4.0</v>
      </c>
      <c r="C12" s="29">
        <f>SUMIF(Pricing!$B$6:$B$36,$A12,Pricing!$G$6:$G$36)</f>
        <v>1003.4</v>
      </c>
      <c r="D12" s="31">
        <f>SUMIF(Pricing!$B$6:$B$36,$A12,Pricing!$I$6:$I$36)</f>
        <v>13.68</v>
      </c>
      <c r="E12" s="29">
        <f>SUMIF(Pricing!$B$6:$B$36,$A12,Pricing!$K$6:$K$36)</f>
        <v>984.9599999999999</v>
      </c>
      <c r="F12" s="29">
        <f>SUMIF(Pricing!$B$6:$B$36,$A12,Pricing!$M$6:$M$36)</f>
        <v>0.0</v>
      </c>
      <c r="G12" s="29">
        <f>SUMIF(Pricing!$B$6:$B$36,$A12,Pricing!$N$6:$N$36)</f>
        <v>1988.36</v>
      </c>
    </row>
    <row r="13">
      <c r="A13" s="19" t="inlineStr">
        <is>
          <t>Direct cost subtotal</t>
        </is>
      </c>
      <c r="C13" s="34">
        <f>SUM(C6:C12)</f>
        <v>23690.3402192</v>
      </c>
      <c r="D13" s="35">
        <f>SUM(D6:D12)</f>
        <v>372.7991112</v>
      </c>
      <c r="E13" s="34">
        <f>SUM(E6:E12)</f>
        <v>26841.5360064</v>
      </c>
      <c r="F13" s="34">
        <f>SUM(F6:F12)</f>
        <v>880.0</v>
      </c>
      <c r="G13" s="34">
        <f>SUM(G6:G12)</f>
        <v>51411.876225600005</v>
      </c>
    </row>
    <row r="14">
      <c r="A14" s="36" t="inlineStr">
        <is>
          <t>Markups (percentages are stated assumptions — see Cover &amp; Basis)</t>
        </is>
      </c>
    </row>
    <row r="15">
      <c r="A15" s="5" t="inlineStr">
        <is>
          <t>Sales tax on material (7.0% of material)</t>
        </is>
      </c>
      <c r="F15" s="37">
        <f>tax_rate</f>
        <v>0.07</v>
      </c>
      <c r="G15" s="38">
        <f>C13*F15</f>
        <v>1658.3238153440002</v>
      </c>
    </row>
    <row r="16">
      <c r="A16" s="22" t="inlineStr">
        <is>
          <t>Running subtotal</t>
        </is>
      </c>
      <c r="G16" s="38">
        <f>G13+G15</f>
        <v>53070.20004094401</v>
      </c>
    </row>
    <row r="17">
      <c r="A17" s="5" t="inlineStr">
        <is>
          <t>Overhead (10.0% of running subtotal)</t>
        </is>
      </c>
      <c r="F17" s="37">
        <f>oh_pct</f>
        <v>0.1</v>
      </c>
      <c r="G17" s="38">
        <f>G16*F17</f>
        <v>5307.020004094401</v>
      </c>
    </row>
    <row r="18">
      <c r="A18" s="22" t="inlineStr">
        <is>
          <t>Running subtotal</t>
        </is>
      </c>
      <c r="G18" s="38">
        <f>G16+G17</f>
        <v>58377.22004503841</v>
      </c>
    </row>
    <row r="19">
      <c r="A19" s="5" t="inlineStr">
        <is>
          <t>Profit (10.0% of running subtotal)</t>
        </is>
      </c>
      <c r="F19" s="37">
        <f>profit_pct</f>
        <v>0.1</v>
      </c>
      <c r="G19" s="38">
        <f>G18*F19</f>
        <v>5837.722004503841</v>
      </c>
    </row>
    <row r="20">
      <c r="A20" s="22" t="inlineStr">
        <is>
          <t>Running subtotal</t>
        </is>
      </c>
      <c r="G20" s="38">
        <f>G18+G19</f>
        <v>64214.94204954225</v>
      </c>
    </row>
    <row r="21">
      <c r="A21" s="19" t="inlineStr">
        <is>
          <t>SAMPLE TOTAL (illustrative)</t>
        </is>
      </c>
      <c r="G21" s="39">
        <f>G20</f>
        <v>64214.94204954225</v>
      </c>
    </row>
    <row r="22">
      <c r="A22" s="5" t="inlineStr">
        <is>
          <t>Cost per SF living</t>
        </is>
      </c>
      <c r="G22" s="38">
        <f>G21/gross_sf</f>
        <v>26.756225853975938</v>
      </c>
    </row>
    <row r="24" ht="40" customHeight="1">
      <c r="A24" s="40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</sheetData>
  <mergeCells count="2">
    <mergeCell ref="A3:G3"/>
    <mergeCell ref="A24:G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2026-09-26T09:13:07Z</dcterms:created>
  <dcterms:modified xsi:type="dcterms:W3CDTF">2026-09-26T09:13:07Z</dcterms:modified>
</cp:coreProperties>
</file>